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2800" windowHeight="8925" firstSheet="1" activeTab="1"/>
  </bookViews>
  <sheets>
    <sheet name="Tabelle1" sheetId="1" r:id="rId1"/>
    <sheet name="Vorlage" sheetId="17" r:id="rId2"/>
    <sheet name="Tabelle2" sheetId="19" r:id="rId3"/>
  </sheets>
  <definedNames>
    <definedName name="_xlnm._FilterDatabase" localSheetId="1" hidden="1">Vorlage!$A$2:$AO$2</definedName>
  </definedNames>
  <calcPr calcId="145621"/>
  <fileRecoveryPr autoRecover="0"/>
</workbook>
</file>

<file path=xl/calcChain.xml><?xml version="1.0" encoding="utf-8"?>
<calcChain xmlns="http://schemas.openxmlformats.org/spreadsheetml/2006/main">
  <c r="Y6" i="17" l="1"/>
  <c r="R6" i="17"/>
  <c r="Q6" i="17"/>
  <c r="M6" i="17"/>
  <c r="L6" i="17"/>
  <c r="Y5" i="17"/>
  <c r="R5" i="17"/>
  <c r="X5" i="17" s="1"/>
  <c r="Q5" i="17"/>
  <c r="M5" i="17"/>
  <c r="L5" i="17"/>
  <c r="Y4" i="17"/>
  <c r="R4" i="17"/>
  <c r="X4" i="17" s="1"/>
  <c r="Q4" i="17"/>
  <c r="M4" i="17"/>
  <c r="L4" i="17"/>
  <c r="Y3" i="17"/>
  <c r="R3" i="17"/>
  <c r="Q3" i="17"/>
  <c r="P3" i="17"/>
  <c r="AC3" i="17" s="1"/>
  <c r="AD3" i="17" s="1"/>
  <c r="M3" i="17"/>
  <c r="L3" i="17"/>
  <c r="Z5" i="17" l="1"/>
  <c r="Z6" i="17"/>
  <c r="Z3" i="17"/>
  <c r="AA3" i="17" s="1"/>
  <c r="Z4" i="17"/>
  <c r="AE3" i="17"/>
  <c r="AF3" i="17" s="1"/>
  <c r="X3" i="17"/>
  <c r="I4" i="17"/>
  <c r="AB3" i="17"/>
  <c r="N4" i="17" s="1"/>
  <c r="I5" i="17"/>
  <c r="X6" i="17"/>
  <c r="I3" i="17"/>
  <c r="I6" i="17"/>
  <c r="AA4" i="17" l="1"/>
  <c r="AA5" i="17" s="1"/>
  <c r="AA6" i="17" s="1"/>
  <c r="P4" i="17"/>
  <c r="AC4" i="17" l="1"/>
  <c r="AD4" i="17" s="1"/>
  <c r="AE4" i="17" s="1"/>
  <c r="AB4" i="17"/>
  <c r="N5" i="17" l="1"/>
  <c r="P5" i="17" s="1"/>
  <c r="AC5" i="17" l="1"/>
  <c r="AD5" i="17" s="1"/>
  <c r="AE5" i="17" s="1"/>
  <c r="AB5" i="17"/>
  <c r="N6" i="17" l="1"/>
  <c r="P6" i="17" s="1"/>
  <c r="AB6" i="17" l="1"/>
  <c r="AC6" i="17"/>
  <c r="AD6" i="17" s="1"/>
  <c r="AE6" i="17" s="1"/>
  <c r="X69" i="1" l="1"/>
  <c r="Q69" i="1"/>
  <c r="W69" i="1" s="1"/>
  <c r="P69" i="1"/>
  <c r="O69" i="1"/>
  <c r="L69" i="1"/>
  <c r="K69" i="1"/>
  <c r="X63" i="1"/>
  <c r="AA63" i="1" s="1"/>
  <c r="Q63" i="1"/>
  <c r="W63" i="1" s="1"/>
  <c r="P63" i="1"/>
  <c r="O63" i="1"/>
  <c r="L63" i="1"/>
  <c r="K63" i="1"/>
  <c r="X64" i="1"/>
  <c r="Q64" i="1"/>
  <c r="W64" i="1" s="1"/>
  <c r="P64" i="1"/>
  <c r="O64" i="1"/>
  <c r="L64" i="1"/>
  <c r="K64" i="1"/>
  <c r="X65" i="1"/>
  <c r="Q65" i="1"/>
  <c r="W65" i="1" s="1"/>
  <c r="P65" i="1"/>
  <c r="O65" i="1"/>
  <c r="L65" i="1"/>
  <c r="K65" i="1"/>
  <c r="X67" i="1"/>
  <c r="Q67" i="1"/>
  <c r="P67" i="1"/>
  <c r="O67" i="1"/>
  <c r="L67" i="1"/>
  <c r="K67" i="1"/>
  <c r="X68" i="1"/>
  <c r="Q68" i="1"/>
  <c r="W68" i="1" s="1"/>
  <c r="P68" i="1"/>
  <c r="O68" i="1"/>
  <c r="L68" i="1"/>
  <c r="K68" i="1"/>
  <c r="X66" i="1"/>
  <c r="Q66" i="1"/>
  <c r="W66" i="1" s="1"/>
  <c r="P66" i="1"/>
  <c r="O66" i="1"/>
  <c r="L66" i="1"/>
  <c r="K66" i="1"/>
  <c r="X62" i="1"/>
  <c r="Q62" i="1"/>
  <c r="W62" i="1" s="1"/>
  <c r="P62" i="1"/>
  <c r="O62" i="1"/>
  <c r="L62" i="1"/>
  <c r="K62" i="1"/>
  <c r="X61" i="1"/>
  <c r="Q61" i="1"/>
  <c r="W61" i="1" s="1"/>
  <c r="P61" i="1"/>
  <c r="O61" i="1"/>
  <c r="L61" i="1"/>
  <c r="K61" i="1"/>
  <c r="X60" i="1"/>
  <c r="Q60" i="1"/>
  <c r="W60" i="1" s="1"/>
  <c r="P60" i="1"/>
  <c r="O60" i="1"/>
  <c r="L60" i="1"/>
  <c r="K60" i="1"/>
  <c r="X59" i="1"/>
  <c r="Q59" i="1"/>
  <c r="W59" i="1" s="1"/>
  <c r="P59" i="1"/>
  <c r="O59" i="1"/>
  <c r="L59" i="1"/>
  <c r="K59" i="1"/>
  <c r="AA65" i="1" l="1"/>
  <c r="Y69" i="1"/>
  <c r="AG65" i="1"/>
  <c r="H69" i="1"/>
  <c r="AA69" i="1"/>
  <c r="H63" i="1"/>
  <c r="Y63" i="1"/>
  <c r="AG63" i="1"/>
  <c r="AG64" i="1"/>
  <c r="AA64" i="1"/>
  <c r="H64" i="1"/>
  <c r="Y64" i="1"/>
  <c r="AG62" i="1"/>
  <c r="H65" i="1"/>
  <c r="Y65" i="1"/>
  <c r="AG61" i="1"/>
  <c r="H67" i="1"/>
  <c r="Y67" i="1"/>
  <c r="AA67" i="1"/>
  <c r="W67" i="1"/>
  <c r="AG60" i="1"/>
  <c r="AG68" i="1"/>
  <c r="AA68" i="1"/>
  <c r="H68" i="1"/>
  <c r="Y68" i="1"/>
  <c r="AA66" i="1"/>
  <c r="H66" i="1"/>
  <c r="Y66" i="1"/>
  <c r="AA62" i="1"/>
  <c r="Y62" i="1"/>
  <c r="H62" i="1"/>
  <c r="AA61" i="1"/>
  <c r="H61" i="1"/>
  <c r="Y61" i="1"/>
  <c r="AA60" i="1"/>
  <c r="H60" i="1"/>
  <c r="Y60" i="1"/>
  <c r="AA59" i="1"/>
  <c r="Y59" i="1"/>
  <c r="H59" i="1"/>
  <c r="X58" i="1"/>
  <c r="Q58" i="1"/>
  <c r="W58" i="1" s="1"/>
  <c r="P58" i="1"/>
  <c r="O58" i="1"/>
  <c r="L58" i="1"/>
  <c r="K58" i="1"/>
  <c r="X57" i="1"/>
  <c r="Q57" i="1"/>
  <c r="W57" i="1" s="1"/>
  <c r="P57" i="1"/>
  <c r="O57" i="1"/>
  <c r="L57" i="1"/>
  <c r="K57" i="1"/>
  <c r="X56" i="1"/>
  <c r="Q56" i="1"/>
  <c r="AG56" i="1" s="1"/>
  <c r="P56" i="1"/>
  <c r="O56" i="1"/>
  <c r="L56" i="1"/>
  <c r="K56" i="1"/>
  <c r="X55" i="1"/>
  <c r="Q55" i="1"/>
  <c r="AG55" i="1" s="1"/>
  <c r="P55" i="1"/>
  <c r="O55" i="1"/>
  <c r="L55" i="1"/>
  <c r="K55" i="1"/>
  <c r="X54" i="1"/>
  <c r="Q54" i="1"/>
  <c r="AG54" i="1" s="1"/>
  <c r="P54" i="1"/>
  <c r="O54" i="1"/>
  <c r="L54" i="1"/>
  <c r="K54" i="1"/>
  <c r="X53" i="1"/>
  <c r="Q53" i="1"/>
  <c r="W53" i="1" s="1"/>
  <c r="P53" i="1"/>
  <c r="O53" i="1"/>
  <c r="L53" i="1"/>
  <c r="K53" i="1"/>
  <c r="X52" i="1"/>
  <c r="Q52" i="1"/>
  <c r="W52" i="1" s="1"/>
  <c r="P52" i="1"/>
  <c r="O52" i="1"/>
  <c r="L52" i="1"/>
  <c r="K52" i="1"/>
  <c r="X51" i="1"/>
  <c r="Q51" i="1"/>
  <c r="W51" i="1" s="1"/>
  <c r="P51" i="1"/>
  <c r="O51" i="1"/>
  <c r="L51" i="1"/>
  <c r="K51" i="1"/>
  <c r="X50" i="1"/>
  <c r="Q50" i="1"/>
  <c r="W50" i="1" s="1"/>
  <c r="P50" i="1"/>
  <c r="O50" i="1"/>
  <c r="L50" i="1"/>
  <c r="K50" i="1"/>
  <c r="X49" i="1"/>
  <c r="Q49" i="1"/>
  <c r="W49" i="1" s="1"/>
  <c r="P49" i="1"/>
  <c r="O49" i="1"/>
  <c r="L49" i="1"/>
  <c r="K49" i="1"/>
  <c r="X48" i="1"/>
  <c r="Q48" i="1"/>
  <c r="W48" i="1" s="1"/>
  <c r="P48" i="1"/>
  <c r="O48" i="1"/>
  <c r="L48" i="1"/>
  <c r="K48" i="1"/>
  <c r="X47" i="1"/>
  <c r="Q47" i="1"/>
  <c r="H47" i="1" s="1"/>
  <c r="P47" i="1"/>
  <c r="O47" i="1"/>
  <c r="L47" i="1"/>
  <c r="K47" i="1"/>
  <c r="AG48" i="1" l="1"/>
  <c r="AG52" i="1"/>
  <c r="AH62" i="1"/>
  <c r="AH63" i="1"/>
  <c r="AH64" i="1"/>
  <c r="AG47" i="1"/>
  <c r="AH47" i="1" s="1"/>
  <c r="AA51" i="1"/>
  <c r="AH65" i="1"/>
  <c r="AG49" i="1"/>
  <c r="AG51" i="1"/>
  <c r="AG57" i="1"/>
  <c r="AH61" i="1"/>
  <c r="AH60" i="1"/>
  <c r="AA58" i="1"/>
  <c r="H58" i="1"/>
  <c r="Y58" i="1"/>
  <c r="AA57" i="1"/>
  <c r="H57" i="1"/>
  <c r="Y57" i="1"/>
  <c r="Y56" i="1"/>
  <c r="AA56" i="1"/>
  <c r="W56" i="1"/>
  <c r="H56" i="1"/>
  <c r="AA55" i="1"/>
  <c r="W55" i="1"/>
  <c r="Y55" i="1"/>
  <c r="H55" i="1"/>
  <c r="AA54" i="1"/>
  <c r="Y54" i="1"/>
  <c r="H54" i="1"/>
  <c r="W54" i="1"/>
  <c r="AA53" i="1"/>
  <c r="H53" i="1"/>
  <c r="Y53" i="1"/>
  <c r="AA52" i="1"/>
  <c r="H52" i="1"/>
  <c r="Y52" i="1"/>
  <c r="H51" i="1"/>
  <c r="Y51" i="1"/>
  <c r="AA50" i="1"/>
  <c r="H50" i="1"/>
  <c r="Y50" i="1"/>
  <c r="AA49" i="1"/>
  <c r="H49" i="1"/>
  <c r="Y49" i="1"/>
  <c r="Y48" i="1"/>
  <c r="AA48" i="1"/>
  <c r="H48" i="1"/>
  <c r="Y47" i="1"/>
  <c r="W47" i="1"/>
  <c r="AA47" i="1"/>
  <c r="X46" i="1"/>
  <c r="Q46" i="1"/>
  <c r="W46" i="1" s="1"/>
  <c r="P46" i="1"/>
  <c r="O46" i="1"/>
  <c r="L46" i="1"/>
  <c r="K46" i="1"/>
  <c r="X39" i="1"/>
  <c r="Q39" i="1"/>
  <c r="W39" i="1" s="1"/>
  <c r="P39" i="1"/>
  <c r="O39" i="1"/>
  <c r="L39" i="1"/>
  <c r="K39" i="1"/>
  <c r="AG45" i="1"/>
  <c r="X45" i="1"/>
  <c r="Q45" i="1"/>
  <c r="W45" i="1" s="1"/>
  <c r="P45" i="1"/>
  <c r="O45" i="1"/>
  <c r="L45" i="1"/>
  <c r="K45" i="1"/>
  <c r="X44" i="1"/>
  <c r="Y44" i="1" s="1"/>
  <c r="Q44" i="1"/>
  <c r="AG44" i="1" s="1"/>
  <c r="P44" i="1"/>
  <c r="O44" i="1"/>
  <c r="L44" i="1"/>
  <c r="K44" i="1"/>
  <c r="X43" i="1"/>
  <c r="Q43" i="1"/>
  <c r="W43" i="1" s="1"/>
  <c r="P43" i="1"/>
  <c r="O43" i="1"/>
  <c r="L43" i="1"/>
  <c r="K43" i="1"/>
  <c r="X42" i="1"/>
  <c r="Q42" i="1"/>
  <c r="W42" i="1" s="1"/>
  <c r="P42" i="1"/>
  <c r="O42" i="1"/>
  <c r="L42" i="1"/>
  <c r="K42" i="1"/>
  <c r="AA42" i="1" l="1"/>
  <c r="AA46" i="1"/>
  <c r="Y42" i="1"/>
  <c r="H46" i="1"/>
  <c r="H42" i="1"/>
  <c r="AG43" i="1"/>
  <c r="AG42" i="1"/>
  <c r="AH42" i="1" s="1"/>
  <c r="AG39" i="1"/>
  <c r="AG46" i="1"/>
  <c r="AH57" i="1"/>
  <c r="AH56" i="1"/>
  <c r="AH55" i="1"/>
  <c r="AH54" i="1"/>
  <c r="AH52" i="1"/>
  <c r="AH51" i="1"/>
  <c r="AH49" i="1"/>
  <c r="AH48" i="1"/>
  <c r="Y46" i="1"/>
  <c r="AA39" i="1"/>
  <c r="H39" i="1"/>
  <c r="Y39" i="1"/>
  <c r="AA45" i="1"/>
  <c r="H45" i="1"/>
  <c r="Y45" i="1"/>
  <c r="H44" i="1"/>
  <c r="W44" i="1"/>
  <c r="AA44" i="1"/>
  <c r="H43" i="1"/>
  <c r="AA43" i="1"/>
  <c r="Y43" i="1"/>
  <c r="X41" i="1"/>
  <c r="Q41" i="1"/>
  <c r="P41" i="1"/>
  <c r="O41" i="1"/>
  <c r="L41" i="1"/>
  <c r="K41" i="1"/>
  <c r="AH46" i="1" l="1"/>
  <c r="AH39" i="1"/>
  <c r="AH45" i="1"/>
  <c r="Y41" i="1"/>
  <c r="H41" i="1"/>
  <c r="W41" i="1"/>
  <c r="AA41" i="1"/>
  <c r="AH41" i="1" l="1"/>
  <c r="X40" i="1"/>
  <c r="Q40" i="1"/>
  <c r="W40" i="1" s="1"/>
  <c r="P40" i="1"/>
  <c r="O40" i="1"/>
  <c r="L40" i="1"/>
  <c r="K40" i="1"/>
  <c r="X38" i="1"/>
  <c r="Q38" i="1"/>
  <c r="AG38" i="1" s="1"/>
  <c r="P38" i="1"/>
  <c r="O38" i="1"/>
  <c r="L38" i="1"/>
  <c r="K38" i="1"/>
  <c r="X37" i="1"/>
  <c r="Q37" i="1"/>
  <c r="AG37" i="1" s="1"/>
  <c r="P37" i="1"/>
  <c r="O37" i="1"/>
  <c r="L37" i="1"/>
  <c r="K37" i="1"/>
  <c r="X36" i="1"/>
  <c r="Q36" i="1"/>
  <c r="W36" i="1" s="1"/>
  <c r="P36" i="1"/>
  <c r="O36" i="1"/>
  <c r="L36" i="1"/>
  <c r="K36" i="1"/>
  <c r="X35" i="1"/>
  <c r="Q35" i="1"/>
  <c r="W35" i="1" s="1"/>
  <c r="P35" i="1"/>
  <c r="O35" i="1"/>
  <c r="L35" i="1"/>
  <c r="K35" i="1"/>
  <c r="X34" i="1"/>
  <c r="Q34" i="1"/>
  <c r="W34" i="1" s="1"/>
  <c r="P34" i="1"/>
  <c r="O34" i="1"/>
  <c r="L34" i="1"/>
  <c r="K34" i="1"/>
  <c r="X33" i="1"/>
  <c r="Q33" i="1"/>
  <c r="W33" i="1" s="1"/>
  <c r="P33" i="1"/>
  <c r="O33" i="1"/>
  <c r="L33" i="1"/>
  <c r="K33" i="1"/>
  <c r="X32" i="1"/>
  <c r="Q32" i="1"/>
  <c r="W32" i="1" s="1"/>
  <c r="P32" i="1"/>
  <c r="O32" i="1"/>
  <c r="L32" i="1"/>
  <c r="K32" i="1"/>
  <c r="X31" i="1"/>
  <c r="Q31" i="1"/>
  <c r="P31" i="1"/>
  <c r="O31" i="1"/>
  <c r="L31" i="1"/>
  <c r="K31" i="1"/>
  <c r="X30" i="1"/>
  <c r="Q30" i="1"/>
  <c r="W30" i="1" s="1"/>
  <c r="P30" i="1"/>
  <c r="O30" i="1"/>
  <c r="L30" i="1"/>
  <c r="K30" i="1"/>
  <c r="X29" i="1"/>
  <c r="Q29" i="1"/>
  <c r="W29" i="1" s="1"/>
  <c r="P29" i="1"/>
  <c r="O29" i="1"/>
  <c r="L29" i="1"/>
  <c r="K29" i="1"/>
  <c r="X28" i="1"/>
  <c r="Q28" i="1"/>
  <c r="AG28" i="1" s="1"/>
  <c r="P28" i="1"/>
  <c r="O28" i="1"/>
  <c r="L28" i="1"/>
  <c r="K28" i="1"/>
  <c r="X27" i="1"/>
  <c r="Q27" i="1"/>
  <c r="W27" i="1" s="1"/>
  <c r="P27" i="1"/>
  <c r="O27" i="1"/>
  <c r="L27" i="1"/>
  <c r="K27" i="1"/>
  <c r="X26" i="1"/>
  <c r="Q26" i="1"/>
  <c r="W26" i="1" s="1"/>
  <c r="P26" i="1"/>
  <c r="O26" i="1"/>
  <c r="L26" i="1"/>
  <c r="K26" i="1"/>
  <c r="X25" i="1"/>
  <c r="Q25" i="1"/>
  <c r="W25" i="1" s="1"/>
  <c r="P25" i="1"/>
  <c r="O25" i="1"/>
  <c r="L25" i="1"/>
  <c r="K25" i="1"/>
  <c r="X24" i="1"/>
  <c r="Q24" i="1"/>
  <c r="W24" i="1" s="1"/>
  <c r="P24" i="1"/>
  <c r="O24" i="1"/>
  <c r="L24" i="1"/>
  <c r="K24" i="1"/>
  <c r="X23" i="1"/>
  <c r="Q23" i="1"/>
  <c r="AG23" i="1" s="1"/>
  <c r="P23" i="1"/>
  <c r="O23" i="1"/>
  <c r="L23" i="1"/>
  <c r="K23" i="1"/>
  <c r="X22" i="1"/>
  <c r="Q22" i="1"/>
  <c r="W22" i="1" s="1"/>
  <c r="P22" i="1"/>
  <c r="O22" i="1"/>
  <c r="L22" i="1"/>
  <c r="K22" i="1"/>
  <c r="X21" i="1"/>
  <c r="Q21" i="1"/>
  <c r="W21" i="1" s="1"/>
  <c r="P21" i="1"/>
  <c r="O21" i="1"/>
  <c r="L21" i="1"/>
  <c r="K21" i="1"/>
  <c r="X20" i="1"/>
  <c r="Q20" i="1"/>
  <c r="W20" i="1" s="1"/>
  <c r="P20" i="1"/>
  <c r="O20" i="1"/>
  <c r="L20" i="1"/>
  <c r="K20" i="1"/>
  <c r="X19" i="1"/>
  <c r="Q19" i="1"/>
  <c r="W19" i="1" s="1"/>
  <c r="P19" i="1"/>
  <c r="O19" i="1"/>
  <c r="L19" i="1"/>
  <c r="K19" i="1"/>
  <c r="X18" i="1"/>
  <c r="Q18" i="1"/>
  <c r="P18" i="1"/>
  <c r="O18" i="1"/>
  <c r="L18" i="1"/>
  <c r="K18" i="1"/>
  <c r="X17" i="1"/>
  <c r="Q17" i="1"/>
  <c r="P17" i="1"/>
  <c r="O17" i="1"/>
  <c r="L17" i="1"/>
  <c r="K17" i="1"/>
  <c r="X16" i="1"/>
  <c r="Q16" i="1"/>
  <c r="AG16" i="1" s="1"/>
  <c r="P16" i="1"/>
  <c r="O16" i="1"/>
  <c r="L16" i="1"/>
  <c r="K16" i="1"/>
  <c r="X15" i="1"/>
  <c r="Q15" i="1"/>
  <c r="W15" i="1" s="1"/>
  <c r="P15" i="1"/>
  <c r="O15" i="1"/>
  <c r="L15" i="1"/>
  <c r="K15" i="1"/>
  <c r="X14" i="1"/>
  <c r="Q14" i="1"/>
  <c r="W14" i="1" s="1"/>
  <c r="P14" i="1"/>
  <c r="O14" i="1"/>
  <c r="L14" i="1"/>
  <c r="K14" i="1"/>
  <c r="AG40" i="1" l="1"/>
  <c r="H40" i="1"/>
  <c r="AA40" i="1"/>
  <c r="Y40" i="1"/>
  <c r="Y38" i="1"/>
  <c r="AH38" i="1" s="1"/>
  <c r="AA38" i="1"/>
  <c r="W38" i="1"/>
  <c r="H38" i="1"/>
  <c r="H37" i="1"/>
  <c r="Y37" i="1"/>
  <c r="AH37" i="1" s="1"/>
  <c r="AA37" i="1"/>
  <c r="W37" i="1"/>
  <c r="AG35" i="1"/>
  <c r="H36" i="1"/>
  <c r="AA36" i="1"/>
  <c r="Y36" i="1"/>
  <c r="Y35" i="1"/>
  <c r="AA35" i="1"/>
  <c r="H35" i="1"/>
  <c r="H29" i="1"/>
  <c r="H34" i="1"/>
  <c r="Y34" i="1"/>
  <c r="AA34" i="1"/>
  <c r="H18" i="1"/>
  <c r="H17" i="1"/>
  <c r="Y33" i="1"/>
  <c r="H33" i="1"/>
  <c r="AA33" i="1"/>
  <c r="H21" i="1"/>
  <c r="AG30" i="1"/>
  <c r="H25" i="1"/>
  <c r="H32" i="1"/>
  <c r="AA32" i="1"/>
  <c r="Y32" i="1"/>
  <c r="AA31" i="1"/>
  <c r="Y31" i="1"/>
  <c r="H31" i="1"/>
  <c r="W31" i="1"/>
  <c r="H28" i="1"/>
  <c r="H24" i="1"/>
  <c r="H20" i="1"/>
  <c r="H16" i="1"/>
  <c r="H27" i="1"/>
  <c r="H23" i="1"/>
  <c r="H19" i="1"/>
  <c r="H15" i="1"/>
  <c r="H26" i="1"/>
  <c r="H22" i="1"/>
  <c r="H14" i="1"/>
  <c r="H30" i="1"/>
  <c r="AA30" i="1"/>
  <c r="Y30" i="1"/>
  <c r="AA29" i="1"/>
  <c r="Y29" i="1"/>
  <c r="W28" i="1"/>
  <c r="AG25" i="1"/>
  <c r="AG22" i="1"/>
  <c r="AA28" i="1"/>
  <c r="Y28" i="1"/>
  <c r="AH28" i="1" s="1"/>
  <c r="AG27" i="1"/>
  <c r="AG26" i="1"/>
  <c r="AA27" i="1"/>
  <c r="Y27" i="1"/>
  <c r="AA26" i="1"/>
  <c r="Y26" i="1"/>
  <c r="Y14" i="1"/>
  <c r="Y16" i="1"/>
  <c r="AH16" i="1" s="1"/>
  <c r="AA25" i="1"/>
  <c r="Y25" i="1"/>
  <c r="AA24" i="1"/>
  <c r="Y24" i="1"/>
  <c r="W23" i="1"/>
  <c r="AA23" i="1"/>
  <c r="Y23" i="1"/>
  <c r="AH23" i="1" s="1"/>
  <c r="Y15" i="1"/>
  <c r="AA19" i="1"/>
  <c r="AG21" i="1"/>
  <c r="AA22" i="1"/>
  <c r="Y22" i="1"/>
  <c r="AA21" i="1"/>
  <c r="Y21" i="1"/>
  <c r="Y20" i="1"/>
  <c r="AG15" i="1"/>
  <c r="Y17" i="1"/>
  <c r="Y18" i="1"/>
  <c r="AA20" i="1"/>
  <c r="AG19" i="1"/>
  <c r="Y19" i="1"/>
  <c r="AA18" i="1"/>
  <c r="W18" i="1"/>
  <c r="AG14" i="1"/>
  <c r="W17" i="1"/>
  <c r="AA17" i="1"/>
  <c r="AA16" i="1"/>
  <c r="W16" i="1"/>
  <c r="AA15" i="1"/>
  <c r="AA14" i="1"/>
  <c r="X13" i="1"/>
  <c r="Q13" i="1"/>
  <c r="P13" i="1"/>
  <c r="O13" i="1"/>
  <c r="L13" i="1"/>
  <c r="K13" i="1"/>
  <c r="X12" i="1"/>
  <c r="Q12" i="1"/>
  <c r="P12" i="1"/>
  <c r="O12" i="1"/>
  <c r="L12" i="1"/>
  <c r="K12" i="1"/>
  <c r="X11" i="1"/>
  <c r="Q11" i="1"/>
  <c r="P11" i="1"/>
  <c r="O11" i="1"/>
  <c r="L11" i="1"/>
  <c r="K11" i="1"/>
  <c r="X10" i="1"/>
  <c r="Q10" i="1"/>
  <c r="P10" i="1"/>
  <c r="O10" i="1"/>
  <c r="L10" i="1"/>
  <c r="K10" i="1"/>
  <c r="X9" i="1"/>
  <c r="Q9" i="1"/>
  <c r="P9" i="1"/>
  <c r="O9" i="1"/>
  <c r="L9" i="1"/>
  <c r="K9" i="1"/>
  <c r="X8" i="1"/>
  <c r="Q8" i="1"/>
  <c r="P8" i="1"/>
  <c r="O8" i="1"/>
  <c r="L8" i="1"/>
  <c r="K8" i="1"/>
  <c r="X7" i="1"/>
  <c r="Q7" i="1"/>
  <c r="P7" i="1"/>
  <c r="O7" i="1"/>
  <c r="L7" i="1"/>
  <c r="K7" i="1"/>
  <c r="X6" i="1"/>
  <c r="Q6" i="1"/>
  <c r="P6" i="1"/>
  <c r="O6" i="1"/>
  <c r="L6" i="1"/>
  <c r="K6" i="1"/>
  <c r="X5" i="1"/>
  <c r="X4" i="1"/>
  <c r="X3" i="1"/>
  <c r="Q5" i="1"/>
  <c r="Q4" i="1"/>
  <c r="Q3" i="1"/>
  <c r="P5" i="1"/>
  <c r="O5" i="1"/>
  <c r="L5" i="1"/>
  <c r="K5" i="1"/>
  <c r="L4" i="1"/>
  <c r="K4" i="1"/>
  <c r="P4" i="1"/>
  <c r="O4" i="1"/>
  <c r="P3" i="1"/>
  <c r="O3" i="1"/>
  <c r="AH35" i="1" l="1"/>
  <c r="AH22" i="1"/>
  <c r="AH30" i="1"/>
  <c r="H3" i="1"/>
  <c r="AG7" i="1"/>
  <c r="H7" i="1"/>
  <c r="W9" i="1"/>
  <c r="H9" i="1"/>
  <c r="AG11" i="1"/>
  <c r="H11" i="1"/>
  <c r="H4" i="1"/>
  <c r="AH25" i="1"/>
  <c r="AG6" i="1"/>
  <c r="H6" i="1"/>
  <c r="W8" i="1"/>
  <c r="H8" i="1"/>
  <c r="W12" i="1"/>
  <c r="H12" i="1"/>
  <c r="AG13" i="1"/>
  <c r="H13" i="1"/>
  <c r="AG5" i="1"/>
  <c r="H5" i="1"/>
  <c r="AG10" i="1"/>
  <c r="H10" i="1"/>
  <c r="AH26" i="1"/>
  <c r="AH19" i="1"/>
  <c r="AH15" i="1"/>
  <c r="AH21" i="1"/>
  <c r="Y6" i="1"/>
  <c r="Y8" i="1"/>
  <c r="Y10" i="1"/>
  <c r="Y12" i="1"/>
  <c r="Y4" i="1"/>
  <c r="Y3" i="1"/>
  <c r="Y5" i="1"/>
  <c r="Y7" i="1"/>
  <c r="Y9" i="1"/>
  <c r="Y11" i="1"/>
  <c r="Y13" i="1"/>
  <c r="AA13" i="1"/>
  <c r="W13" i="1"/>
  <c r="W11" i="1"/>
  <c r="W7" i="1"/>
  <c r="W10" i="1"/>
  <c r="W6" i="1"/>
  <c r="W5" i="1"/>
  <c r="AG8" i="1"/>
  <c r="AA12" i="1"/>
  <c r="AA11" i="1"/>
  <c r="AG9" i="1"/>
  <c r="AA10" i="1"/>
  <c r="AA9" i="1"/>
  <c r="AA8" i="1"/>
  <c r="AA3" i="1"/>
  <c r="AC3" i="1" s="1"/>
  <c r="AA7" i="1"/>
  <c r="AA6" i="1"/>
  <c r="AA5" i="1"/>
  <c r="AA4" i="1"/>
  <c r="AH10" i="1" l="1"/>
  <c r="H71" i="1"/>
  <c r="Z3" i="1"/>
  <c r="Z4" i="1" s="1"/>
  <c r="Z5" i="1" s="1"/>
  <c r="Z6" i="1" s="1"/>
  <c r="Z7" i="1" s="1"/>
  <c r="Z8" i="1" s="1"/>
  <c r="Z9" i="1" s="1"/>
  <c r="Z10" i="1" s="1"/>
  <c r="Z11" i="1" s="1"/>
  <c r="Z12" i="1" s="1"/>
  <c r="Z13" i="1" s="1"/>
  <c r="Z14" i="1" s="1"/>
  <c r="Z15" i="1" s="1"/>
  <c r="Z16" i="1" s="1"/>
  <c r="Z17" i="1" s="1"/>
  <c r="Z18" i="1" s="1"/>
  <c r="Z19" i="1" s="1"/>
  <c r="Z20" i="1" s="1"/>
  <c r="Z21" i="1" s="1"/>
  <c r="Z22" i="1" s="1"/>
  <c r="Z23" i="1" s="1"/>
  <c r="Z24" i="1" s="1"/>
  <c r="Z25" i="1" s="1"/>
  <c r="Z26" i="1" s="1"/>
  <c r="Z27" i="1" s="1"/>
  <c r="Z28" i="1" s="1"/>
  <c r="Z29" i="1" s="1"/>
  <c r="Z30" i="1" s="1"/>
  <c r="Z31" i="1" s="1"/>
  <c r="Z32" i="1" s="1"/>
  <c r="Z33" i="1" s="1"/>
  <c r="Z34" i="1" s="1"/>
  <c r="Z35" i="1" s="1"/>
  <c r="Z36" i="1" s="1"/>
  <c r="Z37" i="1" s="1"/>
  <c r="Z38" i="1" s="1"/>
  <c r="Y71" i="1"/>
  <c r="AH6" i="1"/>
  <c r="AH5" i="1"/>
  <c r="AH7" i="1"/>
  <c r="AH9" i="1"/>
  <c r="AH13" i="1"/>
  <c r="AC4" i="1"/>
  <c r="AC5" i="1" s="1"/>
  <c r="AC6" i="1" s="1"/>
  <c r="AC7" i="1" s="1"/>
  <c r="AC8" i="1" s="1"/>
  <c r="AC9" i="1" s="1"/>
  <c r="AC10" i="1" s="1"/>
  <c r="AC11" i="1" s="1"/>
  <c r="AC12" i="1" s="1"/>
  <c r="AC13" i="1" s="1"/>
  <c r="AC14" i="1" s="1"/>
  <c r="AC15" i="1" s="1"/>
  <c r="AC16" i="1" s="1"/>
  <c r="AC17" i="1" s="1"/>
  <c r="AC18" i="1" s="1"/>
  <c r="AC19" i="1" s="1"/>
  <c r="AC20" i="1" s="1"/>
  <c r="AC21" i="1" s="1"/>
  <c r="AC22" i="1" s="1"/>
  <c r="AC23" i="1" s="1"/>
  <c r="AC24" i="1" s="1"/>
  <c r="AC25" i="1" s="1"/>
  <c r="AC26" i="1" s="1"/>
  <c r="AC27" i="1" s="1"/>
  <c r="AC28" i="1" s="1"/>
  <c r="AC29" i="1" s="1"/>
  <c r="AC30" i="1" s="1"/>
  <c r="AC31" i="1" s="1"/>
  <c r="AC32" i="1" s="1"/>
  <c r="AC33" i="1" s="1"/>
  <c r="AC34" i="1" s="1"/>
  <c r="AC35" i="1" s="1"/>
  <c r="AC36" i="1" s="1"/>
  <c r="AC37" i="1" s="1"/>
  <c r="AC38" i="1" s="1"/>
  <c r="AH8" i="1"/>
  <c r="AC40" i="1" l="1"/>
  <c r="AC41" i="1" s="1"/>
  <c r="AC42" i="1" s="1"/>
  <c r="AC43" i="1" s="1"/>
  <c r="AC44" i="1" s="1"/>
  <c r="AC45" i="1" s="1"/>
  <c r="AC46" i="1" s="1"/>
  <c r="AC47" i="1" s="1"/>
  <c r="AC48" i="1" s="1"/>
  <c r="AC49" i="1" s="1"/>
  <c r="AC50" i="1" s="1"/>
  <c r="AC51" i="1" s="1"/>
  <c r="AC52" i="1" s="1"/>
  <c r="AC53" i="1" s="1"/>
  <c r="AC54" i="1" s="1"/>
  <c r="AC55" i="1" s="1"/>
  <c r="AC56" i="1" s="1"/>
  <c r="AC57" i="1" s="1"/>
  <c r="AC58" i="1" s="1"/>
  <c r="AC59" i="1" s="1"/>
  <c r="AC60" i="1" s="1"/>
  <c r="AC39" i="1"/>
  <c r="Z40" i="1"/>
  <c r="Z41" i="1" s="1"/>
  <c r="Z42" i="1" s="1"/>
  <c r="Z43" i="1" s="1"/>
  <c r="Z44" i="1" s="1"/>
  <c r="Z45" i="1" s="1"/>
  <c r="Z46" i="1" s="1"/>
  <c r="Z47" i="1" s="1"/>
  <c r="Z48" i="1" s="1"/>
  <c r="Z49" i="1" s="1"/>
  <c r="Z50" i="1" s="1"/>
  <c r="Z51" i="1" s="1"/>
  <c r="Z52" i="1" s="1"/>
  <c r="Z53" i="1" s="1"/>
  <c r="Z54" i="1" s="1"/>
  <c r="Z55" i="1" s="1"/>
  <c r="Z56" i="1" s="1"/>
  <c r="Z57" i="1" s="1"/>
  <c r="Z58" i="1" s="1"/>
  <c r="Z59" i="1" s="1"/>
  <c r="Z60" i="1" s="1"/>
  <c r="Z39" i="1"/>
  <c r="AH71" i="1"/>
  <c r="Z61" i="1" l="1"/>
  <c r="Z62" i="1" s="1"/>
  <c r="Z63" i="1" s="1"/>
  <c r="Z64" i="1" s="1"/>
  <c r="Z65" i="1" s="1"/>
  <c r="Z66" i="1" s="1"/>
  <c r="Z67" i="1" s="1"/>
  <c r="Z68" i="1" s="1"/>
  <c r="Z69" i="1" s="1"/>
  <c r="AC61" i="1"/>
  <c r="AC64" i="1" s="1"/>
  <c r="AC63" i="1"/>
  <c r="AC62" i="1" l="1"/>
  <c r="AC65" i="1" l="1"/>
  <c r="AC66" i="1"/>
  <c r="AC68" i="1" l="1"/>
  <c r="AC69" i="1" s="1"/>
  <c r="AC67" i="1"/>
  <c r="AF4" i="17" l="1"/>
  <c r="AF5" i="17" s="1"/>
  <c r="AF6" i="17" s="1"/>
</calcChain>
</file>

<file path=xl/comments1.xml><?xml version="1.0" encoding="utf-8"?>
<comments xmlns="http://schemas.openxmlformats.org/spreadsheetml/2006/main">
  <authors>
    <author>Michael</author>
  </authors>
  <commentList>
    <comment ref="AC2" authorId="0">
      <text>
        <r>
          <rPr>
            <b/>
            <sz val="9"/>
            <color indexed="81"/>
            <rFont val="Tahoma"/>
            <family val="2"/>
          </rPr>
          <t>Michael:</t>
        </r>
        <r>
          <rPr>
            <sz val="9"/>
            <color indexed="81"/>
            <rFont val="Tahoma"/>
            <family val="2"/>
          </rPr>
          <t xml:space="preserve">
mit 10% Gutschrift für Mitglieder von BrokerDeal gerechnet!</t>
        </r>
      </text>
    </comment>
    <comment ref="AH2" authorId="0">
      <text>
        <r>
          <rPr>
            <b/>
            <sz val="9"/>
            <color indexed="81"/>
            <rFont val="Tahoma"/>
            <family val="2"/>
          </rPr>
          <t>Michael:</t>
        </r>
        <r>
          <rPr>
            <sz val="9"/>
            <color indexed="81"/>
            <rFont val="Tahoma"/>
            <family val="2"/>
          </rPr>
          <t xml:space="preserve">
- Trend steil = wenig Korrektur im steilen Trend
- Trend = Standard
Twilight Zone= higher Low aber noch kein higher High und vice versa
- Range
- Counter = Doppeltopps und - böden
- FBO = False Break Out</t>
        </r>
      </text>
    </comment>
  </commentList>
</comments>
</file>

<file path=xl/sharedStrings.xml><?xml version="1.0" encoding="utf-8"?>
<sst xmlns="http://schemas.openxmlformats.org/spreadsheetml/2006/main" count="520" uniqueCount="239">
  <si>
    <t>Veolia</t>
  </si>
  <si>
    <t>Thyssen</t>
  </si>
  <si>
    <t>Airbus</t>
  </si>
  <si>
    <t>Safran</t>
  </si>
  <si>
    <t>Accor</t>
  </si>
  <si>
    <t>Beiersdorf</t>
  </si>
  <si>
    <t>Allianz</t>
  </si>
  <si>
    <t>Daimler</t>
  </si>
  <si>
    <t>ProSieben</t>
  </si>
  <si>
    <t>Cap Gemini</t>
  </si>
  <si>
    <t>Siemens</t>
  </si>
  <si>
    <t>Air Liquide</t>
  </si>
  <si>
    <t>Bouygues</t>
  </si>
  <si>
    <t>Credit Agricole</t>
  </si>
  <si>
    <t>Carrefour</t>
  </si>
  <si>
    <t>Dt. Börse</t>
  </si>
  <si>
    <t>BMW</t>
  </si>
  <si>
    <t>VW</t>
  </si>
  <si>
    <t>RWE</t>
  </si>
  <si>
    <t>E.ON</t>
  </si>
  <si>
    <t>Essilor</t>
  </si>
  <si>
    <t>Vivendi</t>
  </si>
  <si>
    <t>Commerzbank</t>
  </si>
  <si>
    <t>Arcelormittal</t>
  </si>
  <si>
    <t>Bayer</t>
  </si>
  <si>
    <t>Henkel</t>
  </si>
  <si>
    <t>Linde</t>
  </si>
  <si>
    <t>Entry</t>
  </si>
  <si>
    <t>Wert</t>
  </si>
  <si>
    <t>Richtung</t>
  </si>
  <si>
    <t>Zeit</t>
  </si>
  <si>
    <t>Kurs SOLL</t>
  </si>
  <si>
    <t>Kurs IST</t>
  </si>
  <si>
    <t>SL</t>
  </si>
  <si>
    <t>PT</t>
  </si>
  <si>
    <t>CRV SOLL</t>
  </si>
  <si>
    <t>CRV IST</t>
  </si>
  <si>
    <t>Exit</t>
  </si>
  <si>
    <t>Grund</t>
  </si>
  <si>
    <t>max +R</t>
  </si>
  <si>
    <t>am Tageshoch ausgestoppt. Wäre aber auch danach nichts drin gewesen.</t>
  </si>
  <si>
    <t>kein Unterschied</t>
  </si>
  <si>
    <t>SL enger oder weiter?</t>
  </si>
  <si>
    <t>Equity</t>
  </si>
  <si>
    <t>Stück</t>
  </si>
  <si>
    <t>Risiko[%]</t>
  </si>
  <si>
    <t>P/L</t>
  </si>
  <si>
    <t>P/L R</t>
  </si>
  <si>
    <t>Comm [€]</t>
  </si>
  <si>
    <t>P/L [€]</t>
  </si>
  <si>
    <t>Urteil Exit</t>
  </si>
  <si>
    <t>Urteil Entry</t>
  </si>
  <si>
    <t>ok</t>
  </si>
  <si>
    <t>kein Unterschied. Hätte wegen Gap ruhig nachgezogen werden können</t>
  </si>
  <si>
    <t>R [abs] SOLL</t>
  </si>
  <si>
    <t>R [abs] IST</t>
  </si>
  <si>
    <t>Closed Equity</t>
  </si>
  <si>
    <t>SL neu</t>
  </si>
  <si>
    <t>Exit SOLL</t>
  </si>
  <si>
    <t>Exit IST</t>
  </si>
  <si>
    <t>lag gut, war eh schon eng von Anfang an</t>
  </si>
  <si>
    <t>vlt nicht direkt unter 200er Linie kaufen</t>
  </si>
  <si>
    <t>SL etwas nachgezogen gehabt, es wäre aber auch der Original SL unterboten worden durch das Gap</t>
  </si>
  <si>
    <t>max +R an Tag</t>
  </si>
  <si>
    <t>Diff zu R IST</t>
  </si>
  <si>
    <t>wunderbar Hoch erwischt</t>
  </si>
  <si>
    <t>SL Neu hat prima gepasst. Kursziel war einfach zu weit weg und wurde auch nie erreicht</t>
  </si>
  <si>
    <t>1A</t>
  </si>
  <si>
    <t>Trend übergeordnet</t>
  </si>
  <si>
    <t>Short</t>
  </si>
  <si>
    <t>1A, gegen Trend halt</t>
  </si>
  <si>
    <t>enger noch besser, aber ging kaum noch charttechnisch</t>
  </si>
  <si>
    <t>1A, mit Trend</t>
  </si>
  <si>
    <t>Long</t>
  </si>
  <si>
    <t>optimistisches Kursziel, naher Widerstand würde Long nicht erlauben, aber trendkonform</t>
  </si>
  <si>
    <t>Seitwärts</t>
  </si>
  <si>
    <t>Hoch perfekt erwischt vor kl. Korrektur</t>
  </si>
  <si>
    <t>ok, schöner massiver Widerstand in der Nähe getestet mit viel Potential nach unten</t>
  </si>
  <si>
    <t>Exitslippage [R]</t>
  </si>
  <si>
    <t>Entryslippage [R]</t>
  </si>
  <si>
    <t>war um ein paar Cent zu eng, toller Trade entgangen</t>
  </si>
  <si>
    <t>knapp ausgestoppt</t>
  </si>
  <si>
    <t>Trendwechsel in Gang, aber noch unter 200er</t>
  </si>
  <si>
    <t>Hoch fast perfekt erwischt vor kl. Korrektur</t>
  </si>
  <si>
    <t>enger noch besser, aber ging nicht mehr charttechnisch</t>
  </si>
  <si>
    <t>ok, aber kurzfristig Seitwärtsphase</t>
  </si>
  <si>
    <t>entgegen dem Trend und nach SL wenige Tage davor mutiger neuer Versuch</t>
  </si>
  <si>
    <t>Hoch ganz gut erwischt</t>
  </si>
  <si>
    <t>1A auf higher Low gesetzt</t>
  </si>
  <si>
    <t>so lala, charttechnisch war der SL aber nicht besser nachzuziehen nach Close</t>
  </si>
  <si>
    <t>kurzfristig zwar sehr bullisch, aber übergeordnet ok</t>
  </si>
  <si>
    <t>um 5 Cent zu eng, 1-2 R wären drin gewesen</t>
  </si>
  <si>
    <t>ok, Korrektur war nicht wirklich stark, aber ist sie in dynamischen Trends ja selten. Leider riesiges Gap</t>
  </si>
  <si>
    <t>SL anpassen wäre besser gewesen!</t>
  </si>
  <si>
    <t>1A, Abwärtstrend und naher Widerstand mit kleiner Kerze</t>
  </si>
  <si>
    <t xml:space="preserve">SL über Hoch vom 5.8. nachziehen wäre angemessen gewesen </t>
  </si>
  <si>
    <t>lag gut</t>
  </si>
  <si>
    <t>lag gut, sonst wäre ich knapp schon am 4.8. ausgestoppt worden</t>
  </si>
  <si>
    <t>haarscharf eingestoppt leider. Sonst ok</t>
  </si>
  <si>
    <t>enger, lange Kerze</t>
  </si>
  <si>
    <t>SL NEU</t>
  </si>
  <si>
    <t>sehr schön Tief abgeholt</t>
  </si>
  <si>
    <t>Hoch ganz gut erwischt mit nachgezogenem SL</t>
  </si>
  <si>
    <t>Zahlen übersehen!!</t>
  </si>
  <si>
    <t>CRV ok, aber trendig ist was anderes</t>
  </si>
  <si>
    <t>SL gut nachgezogen, sonst wäre ich in Gap gelandet</t>
  </si>
  <si>
    <t>lag gut, sonst wäre ich knapp schon am 9.8. ausgestoppt worden</t>
  </si>
  <si>
    <t>Aufwärtstrend war vor kurzem gebrochen</t>
  </si>
  <si>
    <t>ok, war halt ein kurzer Trade, aber SL verhindert Schlimmeres</t>
  </si>
  <si>
    <t>ok, leider centgenau eingestoppt worden</t>
  </si>
  <si>
    <t>SL ohne Chance, Regelwerk hat gepasst</t>
  </si>
  <si>
    <t>lag perfekt und verhinderte Schlimmeres, auch enger möglich</t>
  </si>
  <si>
    <t>lag gut, hab halt Zahlen übersehen, auch enger möglich</t>
  </si>
  <si>
    <t>Seitwärts mit schönem Doppelhoch</t>
  </si>
  <si>
    <t>SL gut nachgezogen, wäre nicht mehr drin gewesen so</t>
  </si>
  <si>
    <t>lag gut, etwas enger möglich aber zu eng hätte SL draus gemacht</t>
  </si>
  <si>
    <t>zu aggressiv unter Top</t>
  </si>
  <si>
    <t>BNP Paribas</t>
  </si>
  <si>
    <t>schön Doppelhoch geshortet</t>
  </si>
  <si>
    <t>kaum enger möglich</t>
  </si>
  <si>
    <t>lower High mit schöner kleiner Tageskerze, passt gut</t>
  </si>
  <si>
    <t>enger nicht möglich</t>
  </si>
  <si>
    <t>(Blödsinn gemacht mit einem unabsichtlichen Positionsdreh)</t>
  </si>
  <si>
    <t>Widerstand in Form eines Doppeltops</t>
  </si>
  <si>
    <t>enger noch besser</t>
  </si>
  <si>
    <t>war nicht mehr drin, nachgezogener SL hat ganz gut gepasst</t>
  </si>
  <si>
    <t>Long aber &lt;200er</t>
  </si>
  <si>
    <t>Entry genau abgeholt, dann nach unten. Vom Regelwerk her wars ok</t>
  </si>
  <si>
    <t>hätte schon bedeutend weiter sein müssen um daraus noch einen Gewinner zu machen</t>
  </si>
  <si>
    <t>Trendwechsel in Gang, aber &lt;200er</t>
  </si>
  <si>
    <t>enger SL rächte sich</t>
  </si>
  <si>
    <t>wenn ich den SL charttechnisch korrekter unter das Tief des 19.8. lege wird vielleicht ein Gewinner draus. Aber auch nur wenn Spread am 31.8. nicht zu ungünstig. Es hätte übrigens Lafarge werden sollen an diesem Tag, wäre ein Gewinner geworden, aber nicht bei AT handelbar!</t>
  </si>
  <si>
    <t>war nicht mehr drin, fast perfekt</t>
  </si>
  <si>
    <t>enger nicht möglich, hab ohnehin schon gegen den charttechnischen SL verstoßen</t>
  </si>
  <si>
    <t>Seitwärts und &gt;200er</t>
  </si>
  <si>
    <t>Setup war sexy</t>
  </si>
  <si>
    <t>war nichts drin</t>
  </si>
  <si>
    <t>lag gut, nächsten Tag wäre auch ein weiterer aktiviert worden.</t>
  </si>
  <si>
    <t>Unibail-Rodamco</t>
  </si>
  <si>
    <t>Setup ok</t>
  </si>
  <si>
    <t>charttechnisch war es noch weiter einfach nicht sinnvoll, dadurch leider knapp ausgestoppt und Re-Entry nötig</t>
  </si>
  <si>
    <t>Setup ok aber aggressiv</t>
  </si>
  <si>
    <t>lag perfekt</t>
  </si>
  <si>
    <t>Trendwechsel möglich, aber &lt;200er</t>
  </si>
  <si>
    <t>zu aggressiv, hatte ja auch erst neuen tiefsten Schlusskurs Tags davor</t>
  </si>
  <si>
    <t>ID</t>
  </si>
  <si>
    <t>kum.</t>
  </si>
  <si>
    <t>Rutschte leider noch gewaltig durch, aber Regeln befolgt</t>
  </si>
  <si>
    <t>zu eng in diesem Fall, aber hätte schon ein ganzes Stück weiter weg liegen müssen</t>
  </si>
  <si>
    <t>Gewinnmitnahme bei hohem offenen Buchgewinn nach Eröffnungsgap wäre klug gewesen</t>
  </si>
  <si>
    <t>SL nach Gap nicht angepasst war Fehler</t>
  </si>
  <si>
    <t>SL nach Gap nicht angepasst war Fehler. war um 9 nicht anwesend um SL nachzuziehen am 5.10., daher später manueller Exit</t>
  </si>
  <si>
    <t>enger noch besser, vor allem nachziehen!</t>
  </si>
  <si>
    <t>Setup ok, aber lange Signalkerze</t>
  </si>
  <si>
    <t>viel enger noch besser</t>
  </si>
  <si>
    <t>Pernod Ricard</t>
  </si>
  <si>
    <t>Setup aggressiv</t>
  </si>
  <si>
    <t>lag gut, sonst wäre ich knapp schon am 28.9. ausgestoppt worden</t>
  </si>
  <si>
    <t>Gewinnmitnahme bei hohem offenen Buchgewinn nach Eröffnungsgap am 30.09.  wäre klug gewesen, außerdem SL nicht nachgezogen nach Turnaroundkerze</t>
  </si>
  <si>
    <t>Dt. Telekom</t>
  </si>
  <si>
    <t>Seitwärts und &lt;200er</t>
  </si>
  <si>
    <t>Lange Signalkerze, kein schöner Trend</t>
  </si>
  <si>
    <t>SL nachziehen war gute entscheidung, aber da war viel offener Buchgewinn drin!</t>
  </si>
  <si>
    <t>bescheuert eng nachgezogen den SL zu früh. Zudem nicht über tatsächliches Tageshoch, sondern jenes bei AT, welches um den Eröffnungskurs gekürzt wird und dadurch verfälscht war. Teurer Fehler</t>
  </si>
  <si>
    <t xml:space="preserve">FEHLER </t>
  </si>
  <si>
    <t>Seitwärts, aber &lt; 200er</t>
  </si>
  <si>
    <t>Seitwärts und &gt; 200er</t>
  </si>
  <si>
    <t>Formal ok, aber saß dann genau auf dem 200er auf</t>
  </si>
  <si>
    <t>SL nachziehen war gute Entscheidung</t>
  </si>
  <si>
    <t>Solvay</t>
  </si>
  <si>
    <t>ok, enger hätte keinen Unterschied gemacht</t>
  </si>
  <si>
    <t>viel Buchgewinn wieder liegengelassen</t>
  </si>
  <si>
    <t>eh schon rangeholt gehabt, aber geht noch enger</t>
  </si>
  <si>
    <t>Dt. Bank</t>
  </si>
  <si>
    <t>ok, aber jüngst schon ziemlich dynamische Gegenreaktion</t>
  </si>
  <si>
    <t>war schon sehr eng</t>
  </si>
  <si>
    <t>Renault</t>
  </si>
  <si>
    <t>schade, zu eng rangeholt den SL manuell</t>
  </si>
  <si>
    <t>charttechnisch wäre besser gewesen, zu eng gewesen!</t>
  </si>
  <si>
    <t>BASF</t>
  </si>
  <si>
    <t>perfekt</t>
  </si>
  <si>
    <t>5, aber 1 wäre auch schon ok gewesen</t>
  </si>
  <si>
    <t>man. Exit</t>
  </si>
  <si>
    <t>1A, schön auf Support</t>
  </si>
  <si>
    <t>Safety first for dem WE</t>
  </si>
  <si>
    <t>Technip</t>
  </si>
  <si>
    <t>viel enger noch besser, dabei manuell schon rangeholt gehabt</t>
  </si>
  <si>
    <t>Short, aber wieder &gt; 200er</t>
  </si>
  <si>
    <t>manuell rangeholter SL könnte in Nachbetrachung zu eng gewesen sein</t>
  </si>
  <si>
    <t>Dynamik hat etwas gefehlt in den Tagen vor Entry</t>
  </si>
  <si>
    <t>charttechnischer SL in Nachbetrachtung evt. Besser</t>
  </si>
  <si>
    <t>schwierig, &gt; 200er</t>
  </si>
  <si>
    <t>SL, no comment</t>
  </si>
  <si>
    <t>eigentlich ziemlich bullische Dynamik gesehen, und exakt am Low eingestoppt</t>
  </si>
  <si>
    <t xml:space="preserve">kurzfristig ok, aber ohne nachziehen wäre halt mehr drin gewesen. Kurs hat an High pausiert bevor es weiterging. </t>
  </si>
  <si>
    <t>Continental</t>
  </si>
  <si>
    <t>war schon enger, gut so</t>
  </si>
  <si>
    <t>Open Equity</t>
  </si>
  <si>
    <t>ok, etwas gewagt wegen neuem tieferen Tief</t>
  </si>
  <si>
    <t>perfekt, hätte nicht enger rangeholt werden dürfen</t>
  </si>
  <si>
    <t>FME</t>
  </si>
  <si>
    <t>Exit weil offener Buchgewinn kurz vor Close hoch genug erschien. Position alleine zu verwalten wäre besser gewesen</t>
  </si>
  <si>
    <t>charttechnischer SL lag perfekt, wäre sonst SL geworden</t>
  </si>
  <si>
    <t>Danone</t>
  </si>
  <si>
    <t>Michelin</t>
  </si>
  <si>
    <t>Publicis</t>
  </si>
  <si>
    <t>wurde leider knapp geholt, aber war schon weit genug weg</t>
  </si>
  <si>
    <t>Erneut genauso?</t>
  </si>
  <si>
    <t>JA</t>
  </si>
  <si>
    <t>Trend</t>
  </si>
  <si>
    <t>NEIN</t>
  </si>
  <si>
    <t>P/L abs.</t>
  </si>
  <si>
    <t>Swap €</t>
  </si>
  <si>
    <t>Range</t>
  </si>
  <si>
    <t>Twilight Zone</t>
  </si>
  <si>
    <t>Kommentar Entry</t>
  </si>
  <si>
    <t>Kommentar Exit</t>
  </si>
  <si>
    <t>Index</t>
  </si>
  <si>
    <t>CAC40</t>
  </si>
  <si>
    <t>DAX</t>
  </si>
  <si>
    <t>Kat. Index</t>
  </si>
  <si>
    <t>Kategorie Aktie</t>
  </si>
  <si>
    <t>Fehler Entry</t>
  </si>
  <si>
    <t>Fehler Exit</t>
  </si>
  <si>
    <t>Counter</t>
  </si>
  <si>
    <t>P/L [€] brutto</t>
  </si>
  <si>
    <t>Comm [R]</t>
  </si>
  <si>
    <t>R kum. netto</t>
  </si>
  <si>
    <t>P/L R netto</t>
  </si>
  <si>
    <t>Reversal-Kerze</t>
  </si>
  <si>
    <t>naja, Kursziel war konservativ und auch in Range machbar, aber Dynamik sieht anders aus</t>
  </si>
  <si>
    <t>Reversal-Kerze, aber schon weiter Abstand zum Low.</t>
  </si>
  <si>
    <t>eigentlich im Niemandsland gekauft, und auch noch vor Feiertag</t>
  </si>
  <si>
    <t>ok, auf Bear Flag gesetzt</t>
  </si>
  <si>
    <t>aggressiv auf LH gesetzt</t>
  </si>
  <si>
    <t>Scheiße. Warum SL so schnell nachgezogen? Dann auch noch praktisch centgenau ausgestoppt worden, bevor fast das Kursziel drin gewesen wäre</t>
  </si>
  <si>
    <t>SL viel zu schnell nachgezogen</t>
  </si>
  <si>
    <t>1A, sonst SL</t>
  </si>
  <si>
    <t>R kum. brutto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</si>
</sst>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b/>
      <sz val="11"/>
      <color theme="1"/>
      <name val="Calibri"/>
      <family val="2"/>
      <scheme val="minor"/>
    </font>
    <font>
      <sz val="11"/>
      <color rgb="FF00B050"/>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sz val="11"/>
      <color rgb="FF00B050"/>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42">
    <xf numFmtId="0" fontId="0" fillId="0" borderId="0" xfId="0"/>
    <xf numFmtId="0" fontId="1" fillId="0" borderId="0" xfId="0" applyFont="1" applyAlignment="1">
      <alignment horizontal="center"/>
    </xf>
    <xf numFmtId="0" fontId="0" fillId="0" borderId="0" xfId="0" applyAlignment="1">
      <alignment horizontal="center"/>
    </xf>
    <xf numFmtId="2" fontId="0" fillId="0" borderId="0" xfId="0" applyNumberFormat="1"/>
    <xf numFmtId="0" fontId="0" fillId="2" borderId="0" xfId="0" applyFill="1" applyAlignment="1">
      <alignment horizontal="center"/>
    </xf>
    <xf numFmtId="0" fontId="0" fillId="3" borderId="0" xfId="0" applyFill="1" applyAlignment="1">
      <alignment horizontal="center"/>
    </xf>
    <xf numFmtId="2" fontId="0" fillId="0" borderId="0" xfId="0" applyNumberFormat="1" applyAlignment="1">
      <alignment horizontal="center"/>
    </xf>
    <xf numFmtId="21" fontId="0" fillId="4" borderId="0" xfId="0" applyNumberFormat="1" applyFill="1" applyAlignment="1">
      <alignment horizontal="center"/>
    </xf>
    <xf numFmtId="0" fontId="0" fillId="4" borderId="0" xfId="0" applyFill="1" applyAlignment="1">
      <alignment horizontal="center"/>
    </xf>
    <xf numFmtId="16" fontId="0" fillId="4" borderId="0" xfId="0" applyNumberFormat="1" applyFill="1" applyAlignment="1">
      <alignment horizontal="center"/>
    </xf>
    <xf numFmtId="14" fontId="0" fillId="4" borderId="0" xfId="0" applyNumberFormat="1" applyFill="1" applyAlignment="1">
      <alignment horizontal="center"/>
    </xf>
    <xf numFmtId="0" fontId="0" fillId="4" borderId="0" xfId="0" applyFill="1" applyAlignment="1">
      <alignment horizontal="left"/>
    </xf>
    <xf numFmtId="0" fontId="4" fillId="4" borderId="0" xfId="0" applyFont="1" applyFill="1"/>
    <xf numFmtId="2" fontId="0" fillId="4" borderId="0" xfId="0" applyNumberFormat="1" applyFill="1" applyAlignment="1">
      <alignment horizontal="center"/>
    </xf>
    <xf numFmtId="2" fontId="4" fillId="0" borderId="0" xfId="0" applyNumberFormat="1" applyFont="1" applyAlignment="1">
      <alignment horizontal="center"/>
    </xf>
    <xf numFmtId="0" fontId="2" fillId="4" borderId="0" xfId="0" applyFont="1" applyFill="1" applyAlignment="1">
      <alignment horizontal="left"/>
    </xf>
    <xf numFmtId="0" fontId="2" fillId="4" borderId="0" xfId="0" applyFont="1" applyFill="1"/>
    <xf numFmtId="0" fontId="3" fillId="4" borderId="0" xfId="0" applyFont="1" applyFill="1"/>
    <xf numFmtId="0" fontId="3" fillId="4" borderId="0" xfId="0" applyFont="1" applyFill="1" applyAlignment="1">
      <alignment horizontal="left"/>
    </xf>
    <xf numFmtId="2" fontId="3" fillId="0" borderId="0" xfId="0" applyNumberFormat="1" applyFont="1" applyAlignment="1">
      <alignment horizontal="center"/>
    </xf>
    <xf numFmtId="2" fontId="2" fillId="0" borderId="0" xfId="0" applyNumberFormat="1" applyFont="1" applyAlignment="1">
      <alignment horizontal="center"/>
    </xf>
    <xf numFmtId="0" fontId="4" fillId="4" borderId="0" xfId="0" applyFont="1" applyFill="1" applyAlignment="1">
      <alignment horizontal="left"/>
    </xf>
    <xf numFmtId="2" fontId="6" fillId="4" borderId="0" xfId="0" applyNumberFormat="1" applyFont="1" applyFill="1" applyAlignment="1">
      <alignment horizontal="center"/>
    </xf>
    <xf numFmtId="2" fontId="5" fillId="0" borderId="0" xfId="0" applyNumberFormat="1" applyFont="1" applyAlignment="1">
      <alignment horizontal="center"/>
    </xf>
    <xf numFmtId="2" fontId="3" fillId="4" borderId="0" xfId="0" applyNumberFormat="1" applyFont="1" applyFill="1" applyAlignment="1">
      <alignment horizontal="center"/>
    </xf>
    <xf numFmtId="2" fontId="2" fillId="4" borderId="0" xfId="0" applyNumberFormat="1" applyFont="1" applyFill="1" applyAlignment="1">
      <alignment horizontal="center"/>
    </xf>
    <xf numFmtId="0" fontId="4" fillId="4" borderId="0" xfId="0" applyFont="1" applyFill="1" applyAlignment="1"/>
    <xf numFmtId="0" fontId="2" fillId="4" borderId="0" xfId="0" applyFont="1" applyFill="1" applyAlignment="1"/>
    <xf numFmtId="0" fontId="3" fillId="4" borderId="0" xfId="0" applyFont="1" applyFill="1" applyAlignment="1"/>
    <xf numFmtId="0" fontId="0" fillId="4" borderId="0" xfId="0" applyFont="1" applyFill="1" applyAlignment="1">
      <alignment horizontal="center"/>
    </xf>
    <xf numFmtId="0" fontId="0" fillId="5" borderId="0" xfId="0" applyFill="1" applyAlignment="1">
      <alignment horizontal="center"/>
    </xf>
    <xf numFmtId="164" fontId="0" fillId="0" borderId="0" xfId="0" applyNumberFormat="1"/>
    <xf numFmtId="164" fontId="1" fillId="0" borderId="0" xfId="0" applyNumberFormat="1" applyFont="1" applyAlignment="1">
      <alignment horizontal="center"/>
    </xf>
    <xf numFmtId="164" fontId="0" fillId="4" borderId="0" xfId="0" applyNumberFormat="1" applyFill="1" applyAlignment="1">
      <alignment horizontal="center"/>
    </xf>
    <xf numFmtId="164" fontId="0" fillId="0" borderId="0" xfId="0" applyNumberFormat="1" applyAlignment="1">
      <alignment horizontal="center"/>
    </xf>
    <xf numFmtId="0" fontId="1" fillId="0" borderId="0" xfId="0" applyFont="1" applyFill="1" applyAlignment="1">
      <alignment horizontal="center"/>
    </xf>
    <xf numFmtId="0" fontId="0" fillId="0" borderId="0" xfId="0" applyFill="1" applyAlignment="1">
      <alignment horizontal="center"/>
    </xf>
    <xf numFmtId="0" fontId="2" fillId="4" borderId="0" xfId="0" applyFont="1" applyFill="1" applyAlignment="1">
      <alignment horizontal="center"/>
    </xf>
    <xf numFmtId="0" fontId="4" fillId="4" borderId="0" xfId="0" applyFont="1" applyFill="1" applyAlignment="1">
      <alignment horizontal="center"/>
    </xf>
    <xf numFmtId="0" fontId="0" fillId="0" borderId="0" xfId="0" applyAlignment="1">
      <alignment horizontal="left"/>
    </xf>
    <xf numFmtId="0" fontId="1" fillId="0" borderId="0" xfId="0" applyFont="1" applyAlignment="1">
      <alignment horizontal="left"/>
    </xf>
    <xf numFmtId="2" fontId="0" fillId="5" borderId="0" xfId="0" applyNumberFormat="1" applyFill="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R kumuliert</a:t>
            </a:r>
          </a:p>
        </c:rich>
      </c:tx>
      <c:overlay val="0"/>
    </c:title>
    <c:autoTitleDeleted val="0"/>
    <c:plotArea>
      <c:layout/>
      <c:lineChart>
        <c:grouping val="standard"/>
        <c:varyColors val="0"/>
        <c:ser>
          <c:idx val="1"/>
          <c:order val="0"/>
          <c:marker>
            <c:symbol val="none"/>
          </c:marker>
          <c:val>
            <c:numRef>
              <c:f>Tabelle1!$Z$3:$Z$69</c:f>
              <c:numCache>
                <c:formatCode>0.00</c:formatCode>
                <c:ptCount val="67"/>
                <c:pt idx="0">
                  <c:v>-1</c:v>
                </c:pt>
                <c:pt idx="1">
                  <c:v>-2.1000000000000085</c:v>
                </c:pt>
                <c:pt idx="2">
                  <c:v>-3.5333333333333456</c:v>
                </c:pt>
                <c:pt idx="3">
                  <c:v>-2.6252873563218495</c:v>
                </c:pt>
                <c:pt idx="4">
                  <c:v>-3.5787757284148762</c:v>
                </c:pt>
                <c:pt idx="5">
                  <c:v>-4.774178027265453</c:v>
                </c:pt>
                <c:pt idx="6">
                  <c:v>-1.5263147794022123</c:v>
                </c:pt>
                <c:pt idx="7">
                  <c:v>-2.5109301640176001</c:v>
                </c:pt>
                <c:pt idx="8">
                  <c:v>-3.463311116398553</c:v>
                </c:pt>
                <c:pt idx="9">
                  <c:v>-4.4768246299120635</c:v>
                </c:pt>
                <c:pt idx="10">
                  <c:v>-1.8422092452966639</c:v>
                </c:pt>
                <c:pt idx="11">
                  <c:v>-2.9191323222197392</c:v>
                </c:pt>
                <c:pt idx="12">
                  <c:v>-0.73109813418555847</c:v>
                </c:pt>
                <c:pt idx="13">
                  <c:v>-0.51488191796934535</c:v>
                </c:pt>
                <c:pt idx="14">
                  <c:v>-1.6607152513026802</c:v>
                </c:pt>
                <c:pt idx="15">
                  <c:v>-3.8107152513026739</c:v>
                </c:pt>
                <c:pt idx="16">
                  <c:v>-4.8107152513026739</c:v>
                </c:pt>
                <c:pt idx="17">
                  <c:v>-5.786125087368247</c:v>
                </c:pt>
                <c:pt idx="18">
                  <c:v>-4.3187337830204218</c:v>
                </c:pt>
                <c:pt idx="19">
                  <c:v>-6.8998148641015087</c:v>
                </c:pt>
                <c:pt idx="20">
                  <c:v>-6.0513300156166521</c:v>
                </c:pt>
                <c:pt idx="21">
                  <c:v>-6.9925064862048742</c:v>
                </c:pt>
                <c:pt idx="22">
                  <c:v>-8.5353636290620063</c:v>
                </c:pt>
                <c:pt idx="23">
                  <c:v>-6.4444545381529208</c:v>
                </c:pt>
                <c:pt idx="24">
                  <c:v>-7.8194545381529119</c:v>
                </c:pt>
                <c:pt idx="25">
                  <c:v>-5.803325505894839</c:v>
                </c:pt>
                <c:pt idx="26">
                  <c:v>-7.3811032836726227</c:v>
                </c:pt>
                <c:pt idx="27">
                  <c:v>-7.7442611784094639</c:v>
                </c:pt>
                <c:pt idx="28">
                  <c:v>-8.7514040355523246</c:v>
                </c:pt>
                <c:pt idx="29">
                  <c:v>-9.7514040355523246</c:v>
                </c:pt>
                <c:pt idx="30">
                  <c:v>-11.001404035552319</c:v>
                </c:pt>
                <c:pt idx="31">
                  <c:v>-11.982885517033804</c:v>
                </c:pt>
                <c:pt idx="32">
                  <c:v>-8.0982701324183815</c:v>
                </c:pt>
                <c:pt idx="33">
                  <c:v>-9.0982701324183815</c:v>
                </c:pt>
                <c:pt idx="34">
                  <c:v>-10.119546728163067</c:v>
                </c:pt>
                <c:pt idx="35">
                  <c:v>-11.487967780794639</c:v>
                </c:pt>
                <c:pt idx="36">
                  <c:v>-12.519217780794637</c:v>
                </c:pt>
                <c:pt idx="37">
                  <c:v>-12.618402563403336</c:v>
                </c:pt>
                <c:pt idx="38">
                  <c:v>-9.0547661997669682</c:v>
                </c:pt>
                <c:pt idx="39">
                  <c:v>-10.094239883977515</c:v>
                </c:pt>
                <c:pt idx="40">
                  <c:v>-11.651382741120376</c:v>
                </c:pt>
                <c:pt idx="41">
                  <c:v>-13.809277477962468</c:v>
                </c:pt>
                <c:pt idx="42">
                  <c:v>-14.975944144629134</c:v>
                </c:pt>
                <c:pt idx="43">
                  <c:v>-16.007194144629128</c:v>
                </c:pt>
                <c:pt idx="44">
                  <c:v>-16.007194144629128</c:v>
                </c:pt>
                <c:pt idx="45">
                  <c:v>-16.007194144629128</c:v>
                </c:pt>
                <c:pt idx="46">
                  <c:v>-16.007194144629128</c:v>
                </c:pt>
                <c:pt idx="47">
                  <c:v>-16.961739599174585</c:v>
                </c:pt>
                <c:pt idx="48">
                  <c:v>-18.020563128586382</c:v>
                </c:pt>
                <c:pt idx="49">
                  <c:v>-19.036692160844442</c:v>
                </c:pt>
                <c:pt idx="50">
                  <c:v>-20.002984295675901</c:v>
                </c:pt>
                <c:pt idx="51">
                  <c:v>-17.460127152818767</c:v>
                </c:pt>
                <c:pt idx="52">
                  <c:v>-15.408179100870708</c:v>
                </c:pt>
                <c:pt idx="53">
                  <c:v>-12.119290211981813</c:v>
                </c:pt>
                <c:pt idx="54">
                  <c:v>-13.167677308755986</c:v>
                </c:pt>
                <c:pt idx="55">
                  <c:v>-14.193318334397013</c:v>
                </c:pt>
                <c:pt idx="56">
                  <c:v>-15.248873889952581</c:v>
                </c:pt>
                <c:pt idx="57">
                  <c:v>-10.503419344498056</c:v>
                </c:pt>
                <c:pt idx="58">
                  <c:v>-9.7381132220490798</c:v>
                </c:pt>
                <c:pt idx="59">
                  <c:v>-10.092279888715753</c:v>
                </c:pt>
                <c:pt idx="60">
                  <c:v>-8.4256132220490869</c:v>
                </c:pt>
                <c:pt idx="61">
                  <c:v>-5.9338099433605667</c:v>
                </c:pt>
                <c:pt idx="62">
                  <c:v>-6.1860621956128199</c:v>
                </c:pt>
                <c:pt idx="63">
                  <c:v>-7.1860621956128199</c:v>
                </c:pt>
                <c:pt idx="64">
                  <c:v>-5.4075811829545888</c:v>
                </c:pt>
                <c:pt idx="65">
                  <c:v>-6.4075811829545888</c:v>
                </c:pt>
                <c:pt idx="66">
                  <c:v>-7.4537350291084365</c:v>
                </c:pt>
              </c:numCache>
            </c:numRef>
          </c:val>
          <c:smooth val="0"/>
          <c:extLst xmlns:c16r2="http://schemas.microsoft.com/office/drawing/2015/06/chart">
            <c:ext xmlns:c16="http://schemas.microsoft.com/office/drawing/2014/chart" uri="{C3380CC4-5D6E-409C-BE32-E72D297353CC}">
              <c16:uniqueId val="{00000000-51EE-4A05-82C1-E0BF301B92EB}"/>
            </c:ext>
          </c:extLst>
        </c:ser>
        <c:dLbls>
          <c:showLegendKey val="0"/>
          <c:showVal val="0"/>
          <c:showCatName val="0"/>
          <c:showSerName val="0"/>
          <c:showPercent val="0"/>
          <c:showBubbleSize val="0"/>
        </c:dLbls>
        <c:marker val="1"/>
        <c:smooth val="0"/>
        <c:axId val="651612160"/>
        <c:axId val="205173824"/>
      </c:lineChart>
      <c:catAx>
        <c:axId val="651612160"/>
        <c:scaling>
          <c:orientation val="minMax"/>
        </c:scaling>
        <c:delete val="1"/>
        <c:axPos val="b"/>
        <c:majorTickMark val="out"/>
        <c:minorTickMark val="none"/>
        <c:tickLblPos val="nextTo"/>
        <c:crossAx val="205173824"/>
        <c:crosses val="autoZero"/>
        <c:auto val="1"/>
        <c:lblAlgn val="ctr"/>
        <c:lblOffset val="100"/>
        <c:noMultiLvlLbl val="0"/>
      </c:catAx>
      <c:valAx>
        <c:axId val="205173824"/>
        <c:scaling>
          <c:orientation val="minMax"/>
        </c:scaling>
        <c:delete val="0"/>
        <c:axPos val="l"/>
        <c:majorGridlines/>
        <c:numFmt formatCode="0.00" sourceLinked="1"/>
        <c:majorTickMark val="out"/>
        <c:minorTickMark val="none"/>
        <c:tickLblPos val="nextTo"/>
        <c:crossAx val="651612160"/>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19050</xdr:colOff>
      <xdr:row>70</xdr:row>
      <xdr:rowOff>171449</xdr:rowOff>
    </xdr:from>
    <xdr:to>
      <xdr:col>17</xdr:col>
      <xdr:colOff>9525</xdr:colOff>
      <xdr:row>102</xdr:row>
      <xdr:rowOff>28574</xdr:rowOff>
    </xdr:to>
    <xdr:graphicFrame macro="">
      <xdr:nvGraphicFramePr>
        <xdr:cNvPr id="2" name="Diagramm 1">
          <a:extLst>
            <a:ext uri="{FF2B5EF4-FFF2-40B4-BE49-F238E27FC236}">
              <a16:creationId xmlns:a16="http://schemas.microsoft.com/office/drawing/2014/main" xmlns=""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71"/>
  <sheetViews>
    <sheetView workbookViewId="0">
      <pane ySplit="900" topLeftCell="A58" activePane="bottomLeft"/>
      <selection activeCell="H1" sqref="H1:H1048576"/>
      <selection pane="bottomLeft" activeCell="C69" sqref="C69"/>
    </sheetView>
  </sheetViews>
  <sheetFormatPr baseColWidth="10" defaultRowHeight="15" x14ac:dyDescent="0.25"/>
  <cols>
    <col min="1" max="1" width="5.7109375" customWidth="1"/>
    <col min="3" max="3" width="12.5703125" customWidth="1"/>
    <col min="4" max="4" width="7.5703125" customWidth="1"/>
    <col min="5" max="5" width="10.28515625" customWidth="1"/>
    <col min="6" max="6" width="8.5703125" customWidth="1"/>
    <col min="7" max="7" width="8.42578125" customWidth="1"/>
    <col min="8" max="8" width="14.140625" customWidth="1"/>
    <col min="9" max="9" width="7.7109375" customWidth="1"/>
    <col min="10" max="11" width="8.140625" customWidth="1"/>
    <col min="12" max="12" width="7.85546875" customWidth="1"/>
    <col min="14" max="14" width="7.7109375" customWidth="1"/>
    <col min="15" max="15" width="6.42578125" customWidth="1"/>
    <col min="16" max="16" width="10.42578125" customWidth="1"/>
    <col min="17" max="17" width="9.28515625" customWidth="1"/>
    <col min="23" max="23" width="13.7109375" customWidth="1"/>
    <col min="27" max="27" width="8.42578125" customWidth="1"/>
    <col min="28" max="28" width="8.28515625" customWidth="1"/>
    <col min="30" max="30" width="20.42578125" customWidth="1"/>
    <col min="31" max="31" width="17" customWidth="1"/>
    <col min="32" max="32" width="16.5703125" customWidth="1"/>
    <col min="33" max="33" width="10.28515625" customWidth="1"/>
    <col min="34" max="34" width="11.7109375" customWidth="1"/>
    <col min="35" max="35" width="11.42578125" customWidth="1"/>
    <col min="36" max="36" width="17.7109375" customWidth="1"/>
  </cols>
  <sheetData>
    <row r="2" spans="1:36" s="1" customFormat="1" x14ac:dyDescent="0.25">
      <c r="A2" s="1" t="s">
        <v>145</v>
      </c>
      <c r="B2" s="1" t="s">
        <v>27</v>
      </c>
      <c r="C2" s="1" t="s">
        <v>28</v>
      </c>
      <c r="D2" s="1" t="s">
        <v>29</v>
      </c>
      <c r="E2" s="1" t="s">
        <v>30</v>
      </c>
      <c r="F2" s="1" t="s">
        <v>31</v>
      </c>
      <c r="G2" s="1" t="s">
        <v>32</v>
      </c>
      <c r="H2" s="1" t="s">
        <v>79</v>
      </c>
      <c r="I2" s="1" t="s">
        <v>33</v>
      </c>
      <c r="J2" s="1" t="s">
        <v>34</v>
      </c>
      <c r="K2" s="1" t="s">
        <v>35</v>
      </c>
      <c r="L2" s="1" t="s">
        <v>36</v>
      </c>
      <c r="M2" s="1" t="s">
        <v>56</v>
      </c>
      <c r="N2" s="1" t="s">
        <v>45</v>
      </c>
      <c r="O2" s="1" t="s">
        <v>44</v>
      </c>
      <c r="P2" s="1" t="s">
        <v>54</v>
      </c>
      <c r="Q2" s="1" t="s">
        <v>55</v>
      </c>
      <c r="R2" s="1" t="s">
        <v>37</v>
      </c>
      <c r="S2" s="1" t="s">
        <v>30</v>
      </c>
      <c r="T2" s="1" t="s">
        <v>38</v>
      </c>
      <c r="U2" s="1" t="s">
        <v>58</v>
      </c>
      <c r="V2" s="1" t="s">
        <v>59</v>
      </c>
      <c r="W2" s="1" t="s">
        <v>78</v>
      </c>
      <c r="X2" s="1" t="s">
        <v>46</v>
      </c>
      <c r="Y2" s="1" t="s">
        <v>47</v>
      </c>
      <c r="Z2" s="1" t="s">
        <v>146</v>
      </c>
      <c r="AA2" s="1" t="s">
        <v>49</v>
      </c>
      <c r="AB2" s="1" t="s">
        <v>48</v>
      </c>
      <c r="AC2" s="1" t="s">
        <v>43</v>
      </c>
      <c r="AD2" s="1" t="s">
        <v>68</v>
      </c>
      <c r="AE2" s="1" t="s">
        <v>51</v>
      </c>
      <c r="AF2" s="1" t="s">
        <v>50</v>
      </c>
      <c r="AG2" s="1" t="s">
        <v>39</v>
      </c>
      <c r="AH2" s="1" t="s">
        <v>64</v>
      </c>
      <c r="AI2" s="1" t="s">
        <v>63</v>
      </c>
      <c r="AJ2" s="1" t="s">
        <v>42</v>
      </c>
    </row>
    <row r="3" spans="1:36" s="2" customFormat="1" x14ac:dyDescent="0.25">
      <c r="A3" s="2">
        <v>1</v>
      </c>
      <c r="B3" s="10">
        <v>42566</v>
      </c>
      <c r="C3" s="8" t="s">
        <v>0</v>
      </c>
      <c r="D3" s="4">
        <v>-1</v>
      </c>
      <c r="E3" s="7">
        <v>0.37594907407407407</v>
      </c>
      <c r="F3" s="8">
        <v>19.27</v>
      </c>
      <c r="G3" s="8">
        <v>19.27</v>
      </c>
      <c r="H3" s="19">
        <f t="shared" ref="H3:H40" si="0">1-Q3/P3</f>
        <v>0</v>
      </c>
      <c r="I3" s="8">
        <v>19.559999999999999</v>
      </c>
      <c r="J3" s="8">
        <v>18.100000000000001</v>
      </c>
      <c r="K3" s="2">
        <v>4.03</v>
      </c>
      <c r="L3" s="2">
        <v>4.03</v>
      </c>
      <c r="M3" s="8">
        <v>2000</v>
      </c>
      <c r="N3" s="2">
        <v>1</v>
      </c>
      <c r="O3" s="2">
        <f t="shared" ref="O3:O40" si="1">ROUNDDOWN(M3*N3%/ABS(I3-F3),0)</f>
        <v>68</v>
      </c>
      <c r="P3" s="2">
        <f t="shared" ref="P3:P40" si="2">ABS(I3-F3)</f>
        <v>0.28999999999999915</v>
      </c>
      <c r="Q3" s="2">
        <f t="shared" ref="Q3:Q40" si="3">ABS(I3-G3)</f>
        <v>0.28999999999999915</v>
      </c>
      <c r="R3" s="9">
        <v>42566</v>
      </c>
      <c r="S3" s="7">
        <v>0.40931712962962963</v>
      </c>
      <c r="T3" s="8" t="s">
        <v>33</v>
      </c>
      <c r="U3" s="8">
        <v>19.559999999999999</v>
      </c>
      <c r="V3" s="8">
        <v>19.559999999999999</v>
      </c>
      <c r="W3" s="2">
        <v>0</v>
      </c>
      <c r="X3" s="2">
        <f t="shared" ref="X3:X40" si="4">IF(D3&lt;0,G3-V3,V3-G3)</f>
        <v>-0.28999999999999915</v>
      </c>
      <c r="Y3" s="6">
        <f>X3/P3</f>
        <v>-1</v>
      </c>
      <c r="Z3" s="6">
        <f>Y3</f>
        <v>-1</v>
      </c>
      <c r="AA3" s="2">
        <f t="shared" ref="AA3:AA40" si="5">X3*O3</f>
        <v>-19.719999999999942</v>
      </c>
      <c r="AB3" s="2">
        <v>-2</v>
      </c>
      <c r="AC3" s="2">
        <f>2000+AB3+AA3</f>
        <v>1978.28</v>
      </c>
      <c r="AD3" s="8" t="s">
        <v>69</v>
      </c>
      <c r="AE3" s="11" t="s">
        <v>72</v>
      </c>
      <c r="AF3" s="11" t="s">
        <v>40</v>
      </c>
      <c r="AG3" s="8">
        <v>0</v>
      </c>
      <c r="AH3" s="8"/>
      <c r="AI3" s="8"/>
      <c r="AJ3" s="11" t="s">
        <v>41</v>
      </c>
    </row>
    <row r="4" spans="1:36" s="2" customFormat="1" x14ac:dyDescent="0.25">
      <c r="A4" s="2">
        <v>2</v>
      </c>
      <c r="B4" s="10">
        <v>42569</v>
      </c>
      <c r="C4" s="8" t="s">
        <v>5</v>
      </c>
      <c r="D4" s="5">
        <v>1</v>
      </c>
      <c r="E4" s="7">
        <v>0.37571759259259258</v>
      </c>
      <c r="F4" s="8">
        <v>84.08</v>
      </c>
      <c r="G4" s="8">
        <v>84.18</v>
      </c>
      <c r="H4" s="14">
        <f t="shared" si="0"/>
        <v>-0.10000000000000853</v>
      </c>
      <c r="I4" s="8">
        <v>83.08</v>
      </c>
      <c r="J4" s="8">
        <v>89</v>
      </c>
      <c r="K4" s="2">
        <f t="shared" ref="K4:K40" si="6">(J4-F4)/(F4-I4)</f>
        <v>4.9200000000000017</v>
      </c>
      <c r="L4" s="6">
        <f t="shared" ref="L4:L40" si="7">(J4-G4)/(G4-I4)</f>
        <v>4.3818181818181419</v>
      </c>
      <c r="M4" s="8">
        <v>1977</v>
      </c>
      <c r="N4" s="2">
        <v>1</v>
      </c>
      <c r="O4" s="2">
        <f t="shared" si="1"/>
        <v>19</v>
      </c>
      <c r="P4" s="2">
        <f t="shared" si="2"/>
        <v>1</v>
      </c>
      <c r="Q4" s="2">
        <f t="shared" si="3"/>
        <v>1.1000000000000085</v>
      </c>
      <c r="R4" s="9">
        <v>42570</v>
      </c>
      <c r="S4" s="7">
        <v>0.67899305555555556</v>
      </c>
      <c r="T4" s="8" t="s">
        <v>33</v>
      </c>
      <c r="U4" s="8">
        <v>83.08</v>
      </c>
      <c r="V4" s="8">
        <v>83.08</v>
      </c>
      <c r="W4" s="2">
        <v>0</v>
      </c>
      <c r="X4" s="2">
        <f t="shared" si="4"/>
        <v>-1.1000000000000085</v>
      </c>
      <c r="Y4" s="6">
        <f t="shared" ref="Y4:Y18" si="8">X4/P4</f>
        <v>-1.1000000000000085</v>
      </c>
      <c r="Z4" s="6">
        <f>Z3+Y4</f>
        <v>-2.1000000000000085</v>
      </c>
      <c r="AA4" s="2">
        <f t="shared" si="5"/>
        <v>-20.900000000000162</v>
      </c>
      <c r="AB4" s="2">
        <v>-2</v>
      </c>
      <c r="AC4" s="2">
        <f t="shared" ref="AC4:AC39" si="9">AC3+AA4+AB4</f>
        <v>1955.3799999999999</v>
      </c>
      <c r="AD4" s="8" t="s">
        <v>73</v>
      </c>
      <c r="AE4" s="12" t="s">
        <v>74</v>
      </c>
      <c r="AF4" s="21" t="s">
        <v>93</v>
      </c>
      <c r="AG4" s="8">
        <v>0</v>
      </c>
      <c r="AH4" s="8"/>
      <c r="AI4" s="8"/>
      <c r="AJ4" s="11" t="s">
        <v>53</v>
      </c>
    </row>
    <row r="5" spans="1:36" s="2" customFormat="1" x14ac:dyDescent="0.25">
      <c r="A5" s="2">
        <v>3</v>
      </c>
      <c r="B5" s="10">
        <v>42569</v>
      </c>
      <c r="C5" s="8" t="s">
        <v>4</v>
      </c>
      <c r="D5" s="5">
        <v>1</v>
      </c>
      <c r="E5" s="7">
        <v>0.37652777777777779</v>
      </c>
      <c r="F5" s="8">
        <v>37.58</v>
      </c>
      <c r="G5" s="8">
        <v>37.585000000000001</v>
      </c>
      <c r="H5" s="19">
        <f t="shared" si="0"/>
        <v>-6.6666666666701513E-3</v>
      </c>
      <c r="I5" s="8">
        <v>36.83</v>
      </c>
      <c r="J5" s="8">
        <v>39.5</v>
      </c>
      <c r="K5" s="6">
        <f t="shared" si="6"/>
        <v>2.5600000000000023</v>
      </c>
      <c r="L5" s="6">
        <f t="shared" si="7"/>
        <v>2.5364238410595927</v>
      </c>
      <c r="M5" s="8">
        <v>1977</v>
      </c>
      <c r="N5" s="2">
        <v>1</v>
      </c>
      <c r="O5" s="2">
        <f t="shared" si="1"/>
        <v>26</v>
      </c>
      <c r="P5" s="2">
        <f t="shared" si="2"/>
        <v>0.75</v>
      </c>
      <c r="Q5" s="2">
        <f t="shared" si="3"/>
        <v>0.75500000000000256</v>
      </c>
      <c r="R5" s="9">
        <v>42579</v>
      </c>
      <c r="S5" s="7">
        <v>0.37534722222222222</v>
      </c>
      <c r="T5" s="8" t="s">
        <v>57</v>
      </c>
      <c r="U5" s="8">
        <v>37</v>
      </c>
      <c r="V5" s="8">
        <v>36.51</v>
      </c>
      <c r="W5" s="23">
        <f t="shared" ref="W5:W40" si="10">IF(D5&lt;0,(U5-V5)/Q5,(V5-U5)/Q5)</f>
        <v>-0.64900662251655672</v>
      </c>
      <c r="X5" s="2">
        <f t="shared" si="4"/>
        <v>-1.0750000000000028</v>
      </c>
      <c r="Y5" s="6">
        <f t="shared" si="8"/>
        <v>-1.4333333333333371</v>
      </c>
      <c r="Z5" s="6">
        <f t="shared" ref="Z5:Z39" si="11">Z4+Y5</f>
        <v>-3.5333333333333456</v>
      </c>
      <c r="AA5" s="2">
        <f t="shared" si="5"/>
        <v>-27.950000000000074</v>
      </c>
      <c r="AB5" s="2">
        <v>-2</v>
      </c>
      <c r="AC5" s="2">
        <f t="shared" si="9"/>
        <v>1925.4299999999998</v>
      </c>
      <c r="AD5" s="8" t="s">
        <v>75</v>
      </c>
      <c r="AE5" s="12" t="s">
        <v>61</v>
      </c>
      <c r="AF5" s="11" t="s">
        <v>62</v>
      </c>
      <c r="AG5" s="13">
        <f>ABS((38.59-G5)/Q5)</f>
        <v>1.3311258278145683</v>
      </c>
      <c r="AH5" s="22">
        <f t="shared" ref="AH5:AH10" si="12">AG5-Y5</f>
        <v>2.7644591611479052</v>
      </c>
      <c r="AI5" s="8">
        <v>2</v>
      </c>
      <c r="AJ5" s="11" t="s">
        <v>60</v>
      </c>
    </row>
    <row r="6" spans="1:36" s="2" customFormat="1" x14ac:dyDescent="0.25">
      <c r="A6" s="2">
        <v>4</v>
      </c>
      <c r="B6" s="10">
        <v>42569</v>
      </c>
      <c r="C6" s="8" t="s">
        <v>3</v>
      </c>
      <c r="D6" s="4">
        <v>-1</v>
      </c>
      <c r="E6" s="7">
        <v>0.49001157407407409</v>
      </c>
      <c r="F6" s="8">
        <v>62.45</v>
      </c>
      <c r="G6" s="8">
        <v>62.44</v>
      </c>
      <c r="H6" s="19">
        <f t="shared" si="0"/>
        <v>-1.1494252873569089E-2</v>
      </c>
      <c r="I6" s="8">
        <v>63.32</v>
      </c>
      <c r="J6" s="8">
        <v>58</v>
      </c>
      <c r="K6" s="6">
        <f t="shared" si="6"/>
        <v>5.1149425287356509</v>
      </c>
      <c r="L6" s="6">
        <f t="shared" si="7"/>
        <v>5.0454545454545281</v>
      </c>
      <c r="M6" s="8">
        <v>1977</v>
      </c>
      <c r="N6" s="2">
        <v>1</v>
      </c>
      <c r="O6" s="2">
        <f t="shared" si="1"/>
        <v>22</v>
      </c>
      <c r="P6" s="2">
        <f t="shared" si="2"/>
        <v>0.86999999999999744</v>
      </c>
      <c r="Q6" s="2">
        <f t="shared" si="3"/>
        <v>0.88000000000000256</v>
      </c>
      <c r="R6" s="9">
        <v>42577</v>
      </c>
      <c r="S6" s="7">
        <v>0.4314351851851852</v>
      </c>
      <c r="T6" s="8" t="s">
        <v>57</v>
      </c>
      <c r="U6" s="8">
        <v>61.65</v>
      </c>
      <c r="V6" s="8">
        <v>61.65</v>
      </c>
      <c r="W6" s="6">
        <f t="shared" si="10"/>
        <v>0</v>
      </c>
      <c r="X6" s="2">
        <f t="shared" si="4"/>
        <v>0.78999999999999915</v>
      </c>
      <c r="Y6" s="6">
        <f t="shared" si="8"/>
        <v>0.90804597701149592</v>
      </c>
      <c r="Z6" s="6">
        <f t="shared" si="11"/>
        <v>-2.6252873563218495</v>
      </c>
      <c r="AA6" s="2">
        <f t="shared" si="5"/>
        <v>17.379999999999981</v>
      </c>
      <c r="AB6" s="2">
        <v>-2</v>
      </c>
      <c r="AC6" s="2">
        <f t="shared" si="9"/>
        <v>1940.8099999999997</v>
      </c>
      <c r="AD6" s="8" t="s">
        <v>75</v>
      </c>
      <c r="AE6" s="16" t="s">
        <v>65</v>
      </c>
      <c r="AF6" s="15" t="s">
        <v>66</v>
      </c>
      <c r="AG6" s="13">
        <f>ABS((60.61-G6)/Q6)</f>
        <v>2.0795454545454466</v>
      </c>
      <c r="AH6" s="13">
        <f t="shared" si="12"/>
        <v>1.1714994775339507</v>
      </c>
      <c r="AI6" s="8">
        <v>6</v>
      </c>
      <c r="AJ6" s="18" t="s">
        <v>71</v>
      </c>
    </row>
    <row r="7" spans="1:36" s="2" customFormat="1" x14ac:dyDescent="0.25">
      <c r="A7" s="2">
        <v>5</v>
      </c>
      <c r="B7" s="10">
        <v>42570</v>
      </c>
      <c r="C7" s="8" t="s">
        <v>7</v>
      </c>
      <c r="D7" s="4">
        <v>-1</v>
      </c>
      <c r="E7" s="7">
        <v>0.38406249999999997</v>
      </c>
      <c r="F7" s="8">
        <v>58.06</v>
      </c>
      <c r="G7" s="8">
        <v>58.12</v>
      </c>
      <c r="H7" s="20">
        <f t="shared" si="0"/>
        <v>4.6511627906973052E-2</v>
      </c>
      <c r="I7" s="8">
        <v>59.35</v>
      </c>
      <c r="J7" s="8">
        <v>52.05</v>
      </c>
      <c r="K7" s="6">
        <f t="shared" si="6"/>
        <v>4.6589147286821779</v>
      </c>
      <c r="L7" s="6">
        <f t="shared" si="7"/>
        <v>4.9349593495934805</v>
      </c>
      <c r="M7" s="8">
        <v>1974</v>
      </c>
      <c r="N7" s="2">
        <v>1</v>
      </c>
      <c r="O7" s="2">
        <f t="shared" si="1"/>
        <v>15</v>
      </c>
      <c r="P7" s="2">
        <f t="shared" si="2"/>
        <v>1.2899999999999991</v>
      </c>
      <c r="Q7" s="2">
        <f t="shared" si="3"/>
        <v>1.230000000000004</v>
      </c>
      <c r="R7" s="9">
        <v>42572</v>
      </c>
      <c r="S7" s="7">
        <v>0.37534722222222222</v>
      </c>
      <c r="T7" s="8" t="s">
        <v>33</v>
      </c>
      <c r="U7" s="8">
        <v>59.35</v>
      </c>
      <c r="V7" s="8">
        <v>59.35</v>
      </c>
      <c r="W7" s="6">
        <f t="shared" si="10"/>
        <v>0</v>
      </c>
      <c r="X7" s="2">
        <f t="shared" si="4"/>
        <v>-1.230000000000004</v>
      </c>
      <c r="Y7" s="6">
        <f t="shared" si="8"/>
        <v>-0.95348837209302695</v>
      </c>
      <c r="Z7" s="6">
        <f t="shared" si="11"/>
        <v>-3.5787757284148762</v>
      </c>
      <c r="AA7" s="2">
        <f t="shared" si="5"/>
        <v>-18.45000000000006</v>
      </c>
      <c r="AB7" s="2">
        <v>-2</v>
      </c>
      <c r="AC7" s="2">
        <f t="shared" si="9"/>
        <v>1920.3599999999997</v>
      </c>
      <c r="AD7" s="8" t="s">
        <v>69</v>
      </c>
      <c r="AE7" s="17" t="s">
        <v>72</v>
      </c>
      <c r="AF7" s="18" t="s">
        <v>52</v>
      </c>
      <c r="AG7" s="13">
        <f>ABS((56.56-G7)/Q7)</f>
        <v>1.2682926829268213</v>
      </c>
      <c r="AH7" s="22">
        <f t="shared" si="12"/>
        <v>2.2217810550198482</v>
      </c>
      <c r="AI7" s="8">
        <v>1</v>
      </c>
      <c r="AJ7" s="18" t="s">
        <v>71</v>
      </c>
    </row>
    <row r="8" spans="1:36" s="2" customFormat="1" x14ac:dyDescent="0.25">
      <c r="A8" s="2">
        <v>6</v>
      </c>
      <c r="B8" s="10">
        <v>42571</v>
      </c>
      <c r="C8" s="8" t="s">
        <v>2</v>
      </c>
      <c r="D8" s="5">
        <v>1</v>
      </c>
      <c r="E8" s="7">
        <v>0.37537037037037035</v>
      </c>
      <c r="F8" s="8">
        <v>52.46</v>
      </c>
      <c r="G8" s="8">
        <v>52.61</v>
      </c>
      <c r="H8" s="14">
        <f t="shared" si="0"/>
        <v>-0.17241379310344707</v>
      </c>
      <c r="I8" s="8">
        <v>51.59</v>
      </c>
      <c r="J8" s="8">
        <v>56</v>
      </c>
      <c r="K8" s="6">
        <f t="shared" si="6"/>
        <v>4.0689655172413906</v>
      </c>
      <c r="L8" s="6">
        <f t="shared" si="7"/>
        <v>3.3235294117647194</v>
      </c>
      <c r="M8" s="8">
        <v>1952</v>
      </c>
      <c r="N8" s="2">
        <v>1</v>
      </c>
      <c r="O8" s="2">
        <f t="shared" si="1"/>
        <v>22</v>
      </c>
      <c r="P8" s="2">
        <f t="shared" si="2"/>
        <v>0.86999999999999744</v>
      </c>
      <c r="Q8" s="2">
        <f t="shared" si="3"/>
        <v>1.019999999999996</v>
      </c>
      <c r="R8" s="9">
        <v>42573</v>
      </c>
      <c r="S8" s="7">
        <v>0.37807870370370367</v>
      </c>
      <c r="T8" s="8" t="s">
        <v>33</v>
      </c>
      <c r="U8" s="8">
        <v>51.59</v>
      </c>
      <c r="V8" s="8">
        <v>51.57</v>
      </c>
      <c r="W8" s="6">
        <f t="shared" si="10"/>
        <v>-1.9607843137258045E-2</v>
      </c>
      <c r="X8" s="2">
        <f t="shared" si="4"/>
        <v>-1.0399999999999991</v>
      </c>
      <c r="Y8" s="6">
        <f t="shared" si="8"/>
        <v>-1.1954022988505772</v>
      </c>
      <c r="Z8" s="6">
        <f t="shared" si="11"/>
        <v>-4.774178027265453</v>
      </c>
      <c r="AA8" s="2">
        <f t="shared" si="5"/>
        <v>-22.879999999999981</v>
      </c>
      <c r="AB8" s="2">
        <v>-2</v>
      </c>
      <c r="AC8" s="2">
        <f t="shared" si="9"/>
        <v>1895.4799999999998</v>
      </c>
      <c r="AD8" s="8" t="s">
        <v>69</v>
      </c>
      <c r="AE8" s="17" t="s">
        <v>70</v>
      </c>
      <c r="AF8" s="21" t="s">
        <v>93</v>
      </c>
      <c r="AG8" s="13">
        <f>ABS((53.32-G8)/Q8)</f>
        <v>0.69607843137255254</v>
      </c>
      <c r="AH8" s="25">
        <f t="shared" si="12"/>
        <v>1.8914807302231298</v>
      </c>
      <c r="AI8" s="8">
        <v>1</v>
      </c>
      <c r="AJ8" s="18" t="s">
        <v>71</v>
      </c>
    </row>
    <row r="9" spans="1:36" s="2" customFormat="1" x14ac:dyDescent="0.25">
      <c r="A9" s="2">
        <v>7</v>
      </c>
      <c r="B9" s="10">
        <v>42571</v>
      </c>
      <c r="C9" s="8" t="s">
        <v>10</v>
      </c>
      <c r="D9" s="5">
        <v>1</v>
      </c>
      <c r="E9" s="7">
        <v>0.37537037037037035</v>
      </c>
      <c r="F9" s="8">
        <v>93.75</v>
      </c>
      <c r="G9" s="8">
        <v>94.2</v>
      </c>
      <c r="H9" s="14">
        <f t="shared" si="0"/>
        <v>-0.38461538461538658</v>
      </c>
      <c r="I9" s="8">
        <v>92.58</v>
      </c>
      <c r="J9" s="8">
        <v>98</v>
      </c>
      <c r="K9" s="6">
        <f t="shared" si="6"/>
        <v>3.6324786324786271</v>
      </c>
      <c r="L9" s="6">
        <f t="shared" si="7"/>
        <v>2.3456790123456708</v>
      </c>
      <c r="M9" s="8">
        <v>1952</v>
      </c>
      <c r="N9" s="2">
        <v>1</v>
      </c>
      <c r="O9" s="2">
        <f t="shared" si="1"/>
        <v>16</v>
      </c>
      <c r="P9" s="2">
        <f t="shared" si="2"/>
        <v>1.1700000000000017</v>
      </c>
      <c r="Q9" s="2">
        <f t="shared" si="3"/>
        <v>1.6200000000000045</v>
      </c>
      <c r="R9" s="9">
        <v>42583</v>
      </c>
      <c r="S9" s="7">
        <v>0.3897106481481481</v>
      </c>
      <c r="T9" s="8" t="s">
        <v>34</v>
      </c>
      <c r="U9" s="8">
        <v>98</v>
      </c>
      <c r="V9" s="8">
        <v>98</v>
      </c>
      <c r="W9" s="6">
        <f t="shared" si="10"/>
        <v>0</v>
      </c>
      <c r="X9" s="2">
        <f t="shared" si="4"/>
        <v>3.7999999999999972</v>
      </c>
      <c r="Y9" s="6">
        <f t="shared" si="8"/>
        <v>3.2478632478632408</v>
      </c>
      <c r="Z9" s="6">
        <f t="shared" si="11"/>
        <v>-1.5263147794022123</v>
      </c>
      <c r="AA9" s="2">
        <f t="shared" si="5"/>
        <v>60.799999999999955</v>
      </c>
      <c r="AB9" s="2">
        <v>-2</v>
      </c>
      <c r="AC9" s="2">
        <f t="shared" si="9"/>
        <v>1954.2799999999997</v>
      </c>
      <c r="AD9" s="8" t="s">
        <v>73</v>
      </c>
      <c r="AE9" s="17" t="s">
        <v>72</v>
      </c>
      <c r="AF9" s="15" t="s">
        <v>76</v>
      </c>
      <c r="AG9" s="13">
        <f>ABS((98.27-G9)/Q9)</f>
        <v>2.5123456790123346</v>
      </c>
      <c r="AH9" s="13">
        <f t="shared" si="12"/>
        <v>-0.73551756885090613</v>
      </c>
      <c r="AI9" s="8">
        <v>1</v>
      </c>
      <c r="AJ9" s="18" t="s">
        <v>71</v>
      </c>
    </row>
    <row r="10" spans="1:36" s="2" customFormat="1" x14ac:dyDescent="0.25">
      <c r="A10" s="2">
        <v>8</v>
      </c>
      <c r="B10" s="10">
        <v>42572</v>
      </c>
      <c r="C10" s="8" t="s">
        <v>11</v>
      </c>
      <c r="D10" s="4">
        <v>-1</v>
      </c>
      <c r="E10" s="7">
        <v>0.38086805555555553</v>
      </c>
      <c r="F10" s="8">
        <v>94.7</v>
      </c>
      <c r="G10" s="8">
        <v>94.7</v>
      </c>
      <c r="H10" s="19">
        <f t="shared" si="0"/>
        <v>0</v>
      </c>
      <c r="I10" s="8">
        <v>96</v>
      </c>
      <c r="J10" s="8">
        <v>90</v>
      </c>
      <c r="K10" s="6">
        <f t="shared" si="6"/>
        <v>3.6153846153846256</v>
      </c>
      <c r="L10" s="6">
        <f t="shared" si="7"/>
        <v>3.6153846153846256</v>
      </c>
      <c r="M10" s="8">
        <v>1950</v>
      </c>
      <c r="N10" s="2">
        <v>1</v>
      </c>
      <c r="O10" s="2">
        <f t="shared" si="1"/>
        <v>15</v>
      </c>
      <c r="P10" s="2">
        <f t="shared" si="2"/>
        <v>1.2999999999999972</v>
      </c>
      <c r="Q10" s="2">
        <f t="shared" si="3"/>
        <v>1.2999999999999972</v>
      </c>
      <c r="R10" s="9">
        <v>42576</v>
      </c>
      <c r="S10" s="7">
        <v>0.3828125</v>
      </c>
      <c r="T10" s="8" t="s">
        <v>33</v>
      </c>
      <c r="U10" s="8">
        <v>96</v>
      </c>
      <c r="V10" s="8">
        <v>95.98</v>
      </c>
      <c r="W10" s="6">
        <f t="shared" si="10"/>
        <v>1.5384615384612357E-2</v>
      </c>
      <c r="X10" s="2">
        <f t="shared" si="4"/>
        <v>-1.2800000000000011</v>
      </c>
      <c r="Y10" s="6">
        <f t="shared" si="8"/>
        <v>-0.98461538461538767</v>
      </c>
      <c r="Z10" s="6">
        <f t="shared" si="11"/>
        <v>-2.5109301640176001</v>
      </c>
      <c r="AA10" s="2">
        <f t="shared" si="5"/>
        <v>-19.200000000000017</v>
      </c>
      <c r="AB10" s="2">
        <v>-2</v>
      </c>
      <c r="AC10" s="2">
        <f t="shared" si="9"/>
        <v>1933.0799999999997</v>
      </c>
      <c r="AD10" s="8" t="s">
        <v>69</v>
      </c>
      <c r="AE10" s="17" t="s">
        <v>72</v>
      </c>
      <c r="AF10" s="18" t="s">
        <v>52</v>
      </c>
      <c r="AG10" s="13">
        <f>ABS((93.89-G10)/Q10)</f>
        <v>0.62307692307692619</v>
      </c>
      <c r="AH10" s="13">
        <f t="shared" si="12"/>
        <v>1.607692307692314</v>
      </c>
      <c r="AI10" s="8">
        <v>1</v>
      </c>
      <c r="AJ10" s="18" t="s">
        <v>71</v>
      </c>
    </row>
    <row r="11" spans="1:36" s="2" customFormat="1" x14ac:dyDescent="0.25">
      <c r="A11" s="2">
        <v>9</v>
      </c>
      <c r="B11" s="10">
        <v>42573</v>
      </c>
      <c r="C11" s="8" t="s">
        <v>1</v>
      </c>
      <c r="D11" s="4">
        <v>-1</v>
      </c>
      <c r="E11" s="7">
        <v>0.38180555555555556</v>
      </c>
      <c r="F11" s="8">
        <v>19.48</v>
      </c>
      <c r="G11" s="8">
        <v>19.5</v>
      </c>
      <c r="H11" s="19">
        <f t="shared" si="0"/>
        <v>4.7619047619046784E-2</v>
      </c>
      <c r="I11" s="8">
        <v>19.899999999999999</v>
      </c>
      <c r="J11" s="8">
        <v>17.5</v>
      </c>
      <c r="K11" s="6">
        <f t="shared" si="6"/>
        <v>4.7142857142857357</v>
      </c>
      <c r="L11" s="6">
        <f t="shared" si="7"/>
        <v>5.0000000000000178</v>
      </c>
      <c r="M11" s="8">
        <v>1930</v>
      </c>
      <c r="N11" s="2">
        <v>1</v>
      </c>
      <c r="O11" s="2">
        <f t="shared" si="1"/>
        <v>45</v>
      </c>
      <c r="P11" s="2">
        <f t="shared" si="2"/>
        <v>0.41999999999999815</v>
      </c>
      <c r="Q11" s="2">
        <f t="shared" si="3"/>
        <v>0.39999999999999858</v>
      </c>
      <c r="R11" s="9">
        <v>42576</v>
      </c>
      <c r="S11" s="7">
        <v>0.43822916666666667</v>
      </c>
      <c r="T11" s="8" t="s">
        <v>33</v>
      </c>
      <c r="U11" s="8">
        <v>19.899999999999999</v>
      </c>
      <c r="V11" s="8">
        <v>19.899999999999999</v>
      </c>
      <c r="W11" s="6">
        <f t="shared" si="10"/>
        <v>0</v>
      </c>
      <c r="X11" s="2">
        <f t="shared" si="4"/>
        <v>-0.39999999999999858</v>
      </c>
      <c r="Y11" s="6">
        <f t="shared" si="8"/>
        <v>-0.95238095238095322</v>
      </c>
      <c r="Z11" s="6">
        <f t="shared" si="11"/>
        <v>-3.463311116398553</v>
      </c>
      <c r="AA11" s="2">
        <f t="shared" si="5"/>
        <v>-17.999999999999936</v>
      </c>
      <c r="AB11" s="2">
        <v>-2</v>
      </c>
      <c r="AC11" s="2">
        <f t="shared" si="9"/>
        <v>1913.0799999999997</v>
      </c>
      <c r="AD11" s="8" t="s">
        <v>75</v>
      </c>
      <c r="AE11" s="17" t="s">
        <v>77</v>
      </c>
      <c r="AF11" s="18" t="s">
        <v>52</v>
      </c>
      <c r="AG11" s="13">
        <f>ABS((19.37-G11)/Q11)</f>
        <v>0.32499999999999868</v>
      </c>
      <c r="AH11" s="13"/>
      <c r="AI11" s="8">
        <v>1</v>
      </c>
      <c r="AJ11" s="18" t="s">
        <v>71</v>
      </c>
    </row>
    <row r="12" spans="1:36" s="2" customFormat="1" x14ac:dyDescent="0.25">
      <c r="A12" s="2">
        <v>10</v>
      </c>
      <c r="B12" s="10">
        <v>42573</v>
      </c>
      <c r="C12" s="8" t="s">
        <v>12</v>
      </c>
      <c r="D12" s="4">
        <v>-1</v>
      </c>
      <c r="E12" s="7">
        <v>0.39586805555555554</v>
      </c>
      <c r="F12" s="8">
        <v>26.75</v>
      </c>
      <c r="G12" s="8">
        <v>26.76</v>
      </c>
      <c r="H12" s="19">
        <f t="shared" si="0"/>
        <v>2.7027027027031192E-2</v>
      </c>
      <c r="I12" s="8">
        <v>27.12</v>
      </c>
      <c r="J12" s="8">
        <v>25</v>
      </c>
      <c r="K12" s="6">
        <f t="shared" si="6"/>
        <v>4.7297297297297174</v>
      </c>
      <c r="L12" s="6">
        <f t="shared" si="7"/>
        <v>4.8888888888889008</v>
      </c>
      <c r="M12" s="8">
        <v>1930</v>
      </c>
      <c r="N12" s="2">
        <v>1</v>
      </c>
      <c r="O12" s="2">
        <f t="shared" si="1"/>
        <v>52</v>
      </c>
      <c r="P12" s="2">
        <f t="shared" si="2"/>
        <v>0.37000000000000099</v>
      </c>
      <c r="Q12" s="2">
        <f t="shared" si="3"/>
        <v>0.35999999999999943</v>
      </c>
      <c r="R12" s="9">
        <v>42576</v>
      </c>
      <c r="S12" s="7">
        <v>0.4168634259259259</v>
      </c>
      <c r="T12" s="8" t="s">
        <v>33</v>
      </c>
      <c r="U12" s="8">
        <v>27.12</v>
      </c>
      <c r="V12" s="8">
        <v>27.135000000000002</v>
      </c>
      <c r="W12" s="6">
        <f t="shared" si="10"/>
        <v>-4.1666666666668309E-2</v>
      </c>
      <c r="X12" s="2">
        <f t="shared" si="4"/>
        <v>-0.375</v>
      </c>
      <c r="Y12" s="6">
        <f t="shared" si="8"/>
        <v>-1.0135135135135107</v>
      </c>
      <c r="Z12" s="6">
        <f t="shared" si="11"/>
        <v>-4.4768246299120635</v>
      </c>
      <c r="AA12" s="2">
        <f t="shared" si="5"/>
        <v>-19.5</v>
      </c>
      <c r="AB12" s="2">
        <v>-2</v>
      </c>
      <c r="AC12" s="2">
        <f t="shared" si="9"/>
        <v>1891.5799999999997</v>
      </c>
      <c r="AD12" s="8" t="s">
        <v>69</v>
      </c>
      <c r="AE12" s="17" t="s">
        <v>72</v>
      </c>
      <c r="AF12" s="21" t="s">
        <v>81</v>
      </c>
      <c r="AG12" s="13">
        <v>0</v>
      </c>
      <c r="AH12" s="13"/>
      <c r="AI12" s="8">
        <v>9</v>
      </c>
      <c r="AJ12" s="21" t="s">
        <v>80</v>
      </c>
    </row>
    <row r="13" spans="1:36" s="2" customFormat="1" x14ac:dyDescent="0.25">
      <c r="A13" s="2">
        <v>11</v>
      </c>
      <c r="B13" s="10">
        <v>42576</v>
      </c>
      <c r="C13" s="8" t="s">
        <v>21</v>
      </c>
      <c r="D13" s="5">
        <v>1</v>
      </c>
      <c r="E13" s="7">
        <v>0.38274305555555554</v>
      </c>
      <c r="F13" s="8">
        <v>17.22</v>
      </c>
      <c r="G13" s="8">
        <v>17.215</v>
      </c>
      <c r="H13" s="19">
        <f t="shared" si="0"/>
        <v>1.9230769230765499E-2</v>
      </c>
      <c r="I13" s="8">
        <v>16.96</v>
      </c>
      <c r="J13" s="8">
        <v>17.899999999999999</v>
      </c>
      <c r="K13" s="6">
        <f t="shared" si="6"/>
        <v>2.6153846153846345</v>
      </c>
      <c r="L13" s="6">
        <f t="shared" si="7"/>
        <v>2.6862745098039271</v>
      </c>
      <c r="M13" s="8">
        <v>1907</v>
      </c>
      <c r="N13" s="2">
        <v>1</v>
      </c>
      <c r="O13" s="2">
        <f t="shared" si="1"/>
        <v>73</v>
      </c>
      <c r="P13" s="2">
        <f t="shared" si="2"/>
        <v>0.25999999999999801</v>
      </c>
      <c r="Q13" s="2">
        <f t="shared" si="3"/>
        <v>0.25499999999999901</v>
      </c>
      <c r="R13" s="9">
        <v>42578</v>
      </c>
      <c r="S13" s="7">
        <v>0.50938657407407406</v>
      </c>
      <c r="T13" s="8" t="s">
        <v>34</v>
      </c>
      <c r="U13" s="8">
        <v>17.899999999999999</v>
      </c>
      <c r="V13" s="8">
        <v>17.899999999999999</v>
      </c>
      <c r="W13" s="6">
        <f t="shared" si="10"/>
        <v>0</v>
      </c>
      <c r="X13" s="2">
        <f t="shared" si="4"/>
        <v>0.68499999999999872</v>
      </c>
      <c r="Y13" s="6">
        <f t="shared" si="8"/>
        <v>2.6346153846153997</v>
      </c>
      <c r="Z13" s="6">
        <f t="shared" si="11"/>
        <v>-1.8422092452966639</v>
      </c>
      <c r="AA13" s="6">
        <f t="shared" si="5"/>
        <v>50.00499999999991</v>
      </c>
      <c r="AB13" s="2">
        <v>-2</v>
      </c>
      <c r="AC13" s="6">
        <f t="shared" si="9"/>
        <v>1939.5849999999996</v>
      </c>
      <c r="AD13" s="11" t="s">
        <v>82</v>
      </c>
      <c r="AE13" s="17" t="s">
        <v>67</v>
      </c>
      <c r="AF13" s="15" t="s">
        <v>83</v>
      </c>
      <c r="AG13" s="13">
        <f>ABS((18.08-G13)/Q13)</f>
        <v>3.3921568627451051</v>
      </c>
      <c r="AH13" s="13">
        <f>AG13-Y13</f>
        <v>0.7575414781297054</v>
      </c>
      <c r="AI13" s="8">
        <v>3</v>
      </c>
      <c r="AJ13" s="18" t="s">
        <v>84</v>
      </c>
    </row>
    <row r="14" spans="1:36" s="2" customFormat="1" x14ac:dyDescent="0.25">
      <c r="A14" s="2">
        <v>12</v>
      </c>
      <c r="B14" s="10">
        <v>42577</v>
      </c>
      <c r="C14" s="8" t="s">
        <v>13</v>
      </c>
      <c r="D14" s="4">
        <v>-1</v>
      </c>
      <c r="E14" s="7">
        <v>0.38836805555555554</v>
      </c>
      <c r="F14" s="8">
        <v>7.79</v>
      </c>
      <c r="G14" s="8">
        <v>7.79</v>
      </c>
      <c r="H14" s="19">
        <f t="shared" si="0"/>
        <v>0</v>
      </c>
      <c r="I14" s="8">
        <v>8.0500000000000007</v>
      </c>
      <c r="J14" s="8">
        <v>7.05</v>
      </c>
      <c r="K14" s="6">
        <f t="shared" si="6"/>
        <v>2.8461538461538396</v>
      </c>
      <c r="L14" s="6">
        <f t="shared" si="7"/>
        <v>2.8461538461538396</v>
      </c>
      <c r="M14" s="8">
        <v>1847</v>
      </c>
      <c r="N14" s="2">
        <v>1</v>
      </c>
      <c r="O14" s="2">
        <f t="shared" si="1"/>
        <v>71</v>
      </c>
      <c r="P14" s="2">
        <f t="shared" si="2"/>
        <v>0.26000000000000068</v>
      </c>
      <c r="Q14" s="2">
        <f t="shared" si="3"/>
        <v>0.26000000000000068</v>
      </c>
      <c r="R14" s="9">
        <v>42583</v>
      </c>
      <c r="S14" s="7">
        <v>0.37549768518518517</v>
      </c>
      <c r="T14" s="8" t="s">
        <v>33</v>
      </c>
      <c r="U14" s="8">
        <v>8.0500000000000007</v>
      </c>
      <c r="V14" s="8">
        <v>8.07</v>
      </c>
      <c r="W14" s="6">
        <f t="shared" si="10"/>
        <v>-7.6923076923075082E-2</v>
      </c>
      <c r="X14" s="2">
        <f t="shared" si="4"/>
        <v>-0.28000000000000025</v>
      </c>
      <c r="Y14" s="6">
        <f t="shared" si="8"/>
        <v>-1.0769230769230751</v>
      </c>
      <c r="Z14" s="6">
        <f t="shared" si="11"/>
        <v>-2.9191323222197392</v>
      </c>
      <c r="AA14" s="6">
        <f t="shared" si="5"/>
        <v>-19.880000000000017</v>
      </c>
      <c r="AB14" s="2">
        <v>-2</v>
      </c>
      <c r="AC14" s="6">
        <f t="shared" si="9"/>
        <v>1917.7049999999995</v>
      </c>
      <c r="AD14" s="8" t="s">
        <v>69</v>
      </c>
      <c r="AE14" s="17" t="s">
        <v>85</v>
      </c>
      <c r="AF14" s="18" t="s">
        <v>52</v>
      </c>
      <c r="AG14" s="13">
        <f>ABS((7.69-G14)/Q14)</f>
        <v>0.38461538461538225</v>
      </c>
      <c r="AH14" s="13"/>
      <c r="AI14" s="8">
        <v>1</v>
      </c>
      <c r="AJ14" s="11" t="s">
        <v>41</v>
      </c>
    </row>
    <row r="15" spans="1:36" s="2" customFormat="1" x14ac:dyDescent="0.25">
      <c r="A15" s="2">
        <v>13</v>
      </c>
      <c r="B15" s="10">
        <v>42577</v>
      </c>
      <c r="C15" s="8" t="s">
        <v>2</v>
      </c>
      <c r="D15" s="5">
        <v>1</v>
      </c>
      <c r="E15" s="7">
        <v>0.43818287037037035</v>
      </c>
      <c r="F15" s="8">
        <v>51.35</v>
      </c>
      <c r="G15" s="8">
        <v>51.34</v>
      </c>
      <c r="H15" s="19">
        <f t="shared" si="0"/>
        <v>8.5470085470068513E-3</v>
      </c>
      <c r="I15" s="8">
        <v>50.18</v>
      </c>
      <c r="J15" s="8">
        <v>53.9</v>
      </c>
      <c r="K15" s="6">
        <f t="shared" si="6"/>
        <v>2.179487179487174</v>
      </c>
      <c r="L15" s="6">
        <f t="shared" si="7"/>
        <v>2.2068965517241268</v>
      </c>
      <c r="M15" s="8">
        <v>1847</v>
      </c>
      <c r="N15" s="2">
        <v>1</v>
      </c>
      <c r="O15" s="2">
        <f t="shared" si="1"/>
        <v>15</v>
      </c>
      <c r="P15" s="2">
        <f t="shared" si="2"/>
        <v>1.1700000000000017</v>
      </c>
      <c r="Q15" s="2">
        <f t="shared" si="3"/>
        <v>1.1600000000000037</v>
      </c>
      <c r="R15" s="9">
        <v>42578</v>
      </c>
      <c r="S15" s="7">
        <v>0.43207175925925928</v>
      </c>
      <c r="T15" s="8" t="s">
        <v>34</v>
      </c>
      <c r="U15" s="8">
        <v>53.9</v>
      </c>
      <c r="V15" s="8">
        <v>53.9</v>
      </c>
      <c r="W15" s="6">
        <f t="shared" si="10"/>
        <v>0</v>
      </c>
      <c r="X15" s="2">
        <f t="shared" si="4"/>
        <v>2.5599999999999952</v>
      </c>
      <c r="Y15" s="6">
        <f t="shared" si="8"/>
        <v>2.1880341880341807</v>
      </c>
      <c r="Z15" s="6">
        <f t="shared" si="11"/>
        <v>-0.73109813418555847</v>
      </c>
      <c r="AA15" s="6">
        <f t="shared" si="5"/>
        <v>38.399999999999928</v>
      </c>
      <c r="AB15" s="2">
        <v>-2</v>
      </c>
      <c r="AC15" s="6">
        <f t="shared" si="9"/>
        <v>1954.1049999999993</v>
      </c>
      <c r="AD15" s="8" t="s">
        <v>69</v>
      </c>
      <c r="AE15" s="17" t="s">
        <v>86</v>
      </c>
      <c r="AF15" s="15" t="s">
        <v>87</v>
      </c>
      <c r="AG15" s="13">
        <f>ABS((54.7-G15)/Q15)</f>
        <v>2.8965517241379213</v>
      </c>
      <c r="AH15" s="13">
        <f>AG15-Y15</f>
        <v>0.70851753610374058</v>
      </c>
      <c r="AI15" s="8">
        <v>2</v>
      </c>
      <c r="AJ15" s="18" t="s">
        <v>84</v>
      </c>
    </row>
    <row r="16" spans="1:36" s="2" customFormat="1" x14ac:dyDescent="0.25">
      <c r="A16" s="2">
        <v>14</v>
      </c>
      <c r="B16" s="10">
        <v>42578</v>
      </c>
      <c r="C16" s="8" t="s">
        <v>15</v>
      </c>
      <c r="D16" s="5">
        <v>1</v>
      </c>
      <c r="E16" s="7">
        <v>0.37784722222222222</v>
      </c>
      <c r="F16" s="8">
        <v>73.72</v>
      </c>
      <c r="G16" s="8">
        <v>73.72</v>
      </c>
      <c r="H16" s="19">
        <f t="shared" si="0"/>
        <v>0</v>
      </c>
      <c r="I16" s="8">
        <v>72.98</v>
      </c>
      <c r="J16" s="8">
        <v>76.900000000000006</v>
      </c>
      <c r="K16" s="6">
        <f t="shared" si="6"/>
        <v>4.2972972972973364</v>
      </c>
      <c r="L16" s="6">
        <f t="shared" si="7"/>
        <v>4.2972972972973364</v>
      </c>
      <c r="M16" s="8">
        <v>1861</v>
      </c>
      <c r="N16" s="2">
        <v>1</v>
      </c>
      <c r="O16" s="2">
        <f t="shared" si="1"/>
        <v>25</v>
      </c>
      <c r="P16" s="2">
        <f t="shared" si="2"/>
        <v>0.73999999999999488</v>
      </c>
      <c r="Q16" s="2">
        <f t="shared" si="3"/>
        <v>0.73999999999999488</v>
      </c>
      <c r="R16" s="9">
        <v>42585</v>
      </c>
      <c r="S16" s="7">
        <v>0.37709490740740742</v>
      </c>
      <c r="T16" s="8" t="s">
        <v>57</v>
      </c>
      <c r="U16" s="8">
        <v>73.900000000000006</v>
      </c>
      <c r="V16" s="8">
        <v>73.88</v>
      </c>
      <c r="W16" s="6">
        <f t="shared" si="10"/>
        <v>-2.7027027027041042E-2</v>
      </c>
      <c r="X16" s="2">
        <f t="shared" si="4"/>
        <v>0.15999999999999659</v>
      </c>
      <c r="Y16" s="6">
        <f t="shared" si="8"/>
        <v>0.21621621621621309</v>
      </c>
      <c r="Z16" s="6">
        <f t="shared" si="11"/>
        <v>-0.51488191796934535</v>
      </c>
      <c r="AA16" s="6">
        <f t="shared" si="5"/>
        <v>3.9999999999999147</v>
      </c>
      <c r="AB16" s="2">
        <v>-2</v>
      </c>
      <c r="AC16" s="6">
        <f t="shared" si="9"/>
        <v>1956.1049999999993</v>
      </c>
      <c r="AD16" s="8" t="s">
        <v>75</v>
      </c>
      <c r="AE16" s="17" t="s">
        <v>88</v>
      </c>
      <c r="AF16" s="18" t="s">
        <v>89</v>
      </c>
      <c r="AG16" s="13">
        <f>ABS((75.92-G16)/Q16)</f>
        <v>2.9729729729729972</v>
      </c>
      <c r="AH16" s="22">
        <f>AG16-Y16</f>
        <v>2.7567567567567841</v>
      </c>
      <c r="AI16" s="8">
        <v>2</v>
      </c>
      <c r="AJ16" s="18" t="s">
        <v>84</v>
      </c>
    </row>
    <row r="17" spans="1:36" s="2" customFormat="1" x14ac:dyDescent="0.25">
      <c r="A17" s="2">
        <v>15</v>
      </c>
      <c r="B17" s="10">
        <v>42579</v>
      </c>
      <c r="C17" s="8" t="s">
        <v>8</v>
      </c>
      <c r="D17" s="4">
        <v>-1</v>
      </c>
      <c r="E17" s="7">
        <v>0.37537037037037035</v>
      </c>
      <c r="F17" s="8">
        <v>40.82</v>
      </c>
      <c r="G17" s="8">
        <v>40.75</v>
      </c>
      <c r="H17" s="19">
        <f t="shared" si="0"/>
        <v>-0.14583333333333481</v>
      </c>
      <c r="I17" s="8">
        <v>41.3</v>
      </c>
      <c r="J17" s="8">
        <v>38</v>
      </c>
      <c r="K17" s="6">
        <f t="shared" si="6"/>
        <v>5.8750000000000391</v>
      </c>
      <c r="L17" s="6">
        <f t="shared" si="7"/>
        <v>5.0000000000000258</v>
      </c>
      <c r="M17" s="8">
        <v>1946</v>
      </c>
      <c r="N17" s="2">
        <v>1</v>
      </c>
      <c r="O17" s="2">
        <f t="shared" si="1"/>
        <v>40</v>
      </c>
      <c r="P17" s="2">
        <f t="shared" si="2"/>
        <v>0.47999999999999687</v>
      </c>
      <c r="Q17" s="2">
        <f t="shared" si="3"/>
        <v>0.54999999999999716</v>
      </c>
      <c r="R17" s="9">
        <v>42583</v>
      </c>
      <c r="S17" s="7">
        <v>0.38966435185185189</v>
      </c>
      <c r="T17" s="8" t="s">
        <v>33</v>
      </c>
      <c r="U17" s="8">
        <v>41.3</v>
      </c>
      <c r="V17" s="8">
        <v>41.3</v>
      </c>
      <c r="W17" s="6">
        <f t="shared" si="10"/>
        <v>0</v>
      </c>
      <c r="X17" s="2">
        <f t="shared" si="4"/>
        <v>-0.54999999999999716</v>
      </c>
      <c r="Y17" s="6">
        <f t="shared" si="8"/>
        <v>-1.1458333333333348</v>
      </c>
      <c r="Z17" s="6">
        <f t="shared" si="11"/>
        <v>-1.6607152513026802</v>
      </c>
      <c r="AA17" s="6">
        <f t="shared" si="5"/>
        <v>-21.999999999999886</v>
      </c>
      <c r="AB17" s="2">
        <v>-2</v>
      </c>
      <c r="AC17" s="6">
        <f t="shared" si="9"/>
        <v>1932.1049999999996</v>
      </c>
      <c r="AD17" s="8" t="s">
        <v>69</v>
      </c>
      <c r="AE17" s="17" t="s">
        <v>90</v>
      </c>
      <c r="AF17" s="21" t="s">
        <v>81</v>
      </c>
      <c r="AG17" s="13">
        <v>0</v>
      </c>
      <c r="AH17" s="13"/>
      <c r="AI17" s="8">
        <v>7</v>
      </c>
      <c r="AJ17" s="21" t="s">
        <v>91</v>
      </c>
    </row>
    <row r="18" spans="1:36" s="2" customFormat="1" x14ac:dyDescent="0.25">
      <c r="A18" s="2">
        <v>16</v>
      </c>
      <c r="B18" s="10">
        <v>42583</v>
      </c>
      <c r="C18" s="8" t="s">
        <v>16</v>
      </c>
      <c r="D18" s="5">
        <v>1</v>
      </c>
      <c r="E18" s="7">
        <v>0.37656249999999997</v>
      </c>
      <c r="F18" s="8">
        <v>77.150000000000006</v>
      </c>
      <c r="G18" s="8">
        <v>78.45</v>
      </c>
      <c r="H18" s="23">
        <f t="shared" si="0"/>
        <v>-1.0833333333333286</v>
      </c>
      <c r="I18" s="8">
        <v>75.95</v>
      </c>
      <c r="J18" s="8">
        <v>84.9</v>
      </c>
      <c r="K18" s="6">
        <f t="shared" si="6"/>
        <v>6.4583333333333179</v>
      </c>
      <c r="L18" s="6">
        <f t="shared" si="7"/>
        <v>2.580000000000001</v>
      </c>
      <c r="M18" s="8">
        <v>1916</v>
      </c>
      <c r="N18" s="2">
        <v>1</v>
      </c>
      <c r="O18" s="2">
        <f t="shared" si="1"/>
        <v>15</v>
      </c>
      <c r="P18" s="2">
        <f t="shared" si="2"/>
        <v>1.2000000000000028</v>
      </c>
      <c r="Q18" s="2">
        <f t="shared" si="3"/>
        <v>2.5</v>
      </c>
      <c r="R18" s="9">
        <v>42584</v>
      </c>
      <c r="S18" s="7">
        <v>0.38283564814814813</v>
      </c>
      <c r="T18" s="8" t="s">
        <v>33</v>
      </c>
      <c r="U18" s="8">
        <v>75.95</v>
      </c>
      <c r="V18" s="8">
        <v>75.87</v>
      </c>
      <c r="W18" s="6">
        <f t="shared" si="10"/>
        <v>-3.1999999999999321E-2</v>
      </c>
      <c r="X18" s="2">
        <f t="shared" si="4"/>
        <v>-2.5799999999999983</v>
      </c>
      <c r="Y18" s="6">
        <f t="shared" si="8"/>
        <v>-2.1499999999999937</v>
      </c>
      <c r="Z18" s="6">
        <f t="shared" si="11"/>
        <v>-3.8107152513026739</v>
      </c>
      <c r="AA18" s="6">
        <f t="shared" si="5"/>
        <v>-38.699999999999974</v>
      </c>
      <c r="AB18" s="2">
        <v>-2</v>
      </c>
      <c r="AC18" s="6">
        <f t="shared" si="9"/>
        <v>1891.4049999999995</v>
      </c>
      <c r="AD18" s="11" t="s">
        <v>82</v>
      </c>
      <c r="AE18" s="17" t="s">
        <v>92</v>
      </c>
      <c r="AF18" s="21" t="s">
        <v>93</v>
      </c>
      <c r="AG18" s="13">
        <v>0</v>
      </c>
      <c r="AH18" s="13"/>
      <c r="AI18" s="8"/>
      <c r="AJ18" s="18" t="s">
        <v>84</v>
      </c>
    </row>
    <row r="19" spans="1:36" s="2" customFormat="1" x14ac:dyDescent="0.25">
      <c r="A19" s="2">
        <v>17</v>
      </c>
      <c r="B19" s="10">
        <v>42583</v>
      </c>
      <c r="C19" s="8" t="s">
        <v>6</v>
      </c>
      <c r="D19" s="4">
        <v>-1</v>
      </c>
      <c r="E19" s="7">
        <v>0.5010648148148148</v>
      </c>
      <c r="F19" s="8">
        <v>127.7</v>
      </c>
      <c r="G19" s="8">
        <v>127.7</v>
      </c>
      <c r="H19" s="19">
        <f t="shared" si="0"/>
        <v>0</v>
      </c>
      <c r="I19" s="8">
        <v>129.69999999999999</v>
      </c>
      <c r="J19" s="8">
        <v>120</v>
      </c>
      <c r="K19" s="6">
        <f t="shared" si="6"/>
        <v>3.850000000000029</v>
      </c>
      <c r="L19" s="6">
        <f t="shared" si="7"/>
        <v>3.850000000000029</v>
      </c>
      <c r="M19" s="8">
        <v>1916</v>
      </c>
      <c r="N19" s="2">
        <v>1</v>
      </c>
      <c r="O19" s="2">
        <f t="shared" si="1"/>
        <v>9</v>
      </c>
      <c r="P19" s="2">
        <f t="shared" si="2"/>
        <v>1.9999999999999858</v>
      </c>
      <c r="Q19" s="2">
        <f t="shared" si="3"/>
        <v>1.9999999999999858</v>
      </c>
      <c r="R19" s="9">
        <v>42590</v>
      </c>
      <c r="S19" s="7">
        <v>0.41521990740740744</v>
      </c>
      <c r="T19" s="8" t="s">
        <v>33</v>
      </c>
      <c r="U19" s="8">
        <v>129.69999999999999</v>
      </c>
      <c r="V19" s="8">
        <v>129.69999999999999</v>
      </c>
      <c r="W19" s="6">
        <f t="shared" si="10"/>
        <v>0</v>
      </c>
      <c r="X19" s="2">
        <f t="shared" si="4"/>
        <v>-1.9999999999999858</v>
      </c>
      <c r="Y19" s="6">
        <f t="shared" ref="Y19" si="13">X19/P19</f>
        <v>-1</v>
      </c>
      <c r="Z19" s="6">
        <f t="shared" si="11"/>
        <v>-4.8107152513026739</v>
      </c>
      <c r="AA19" s="6">
        <f t="shared" si="5"/>
        <v>-17.999999999999872</v>
      </c>
      <c r="AB19" s="2">
        <v>-2</v>
      </c>
      <c r="AC19" s="6">
        <f t="shared" si="9"/>
        <v>1871.4049999999997</v>
      </c>
      <c r="AD19" s="8" t="s">
        <v>69</v>
      </c>
      <c r="AE19" s="17" t="s">
        <v>94</v>
      </c>
      <c r="AF19" s="21" t="s">
        <v>95</v>
      </c>
      <c r="AG19" s="13">
        <f>ABS((122.65-G19)/Q19)</f>
        <v>2.5250000000000163</v>
      </c>
      <c r="AH19" s="22">
        <f>AG19-Y19</f>
        <v>3.5250000000000163</v>
      </c>
      <c r="AI19" s="8">
        <v>5</v>
      </c>
      <c r="AJ19" s="15" t="s">
        <v>97</v>
      </c>
    </row>
    <row r="20" spans="1:36" s="2" customFormat="1" x14ac:dyDescent="0.25">
      <c r="A20" s="2">
        <v>18</v>
      </c>
      <c r="B20" s="10">
        <v>42584</v>
      </c>
      <c r="C20" s="8" t="s">
        <v>3</v>
      </c>
      <c r="D20" s="5">
        <v>1</v>
      </c>
      <c r="E20" s="7">
        <v>0.3760532407407407</v>
      </c>
      <c r="F20" s="8">
        <v>62.2</v>
      </c>
      <c r="G20" s="8">
        <v>62.164000000000001</v>
      </c>
      <c r="H20" s="19">
        <f t="shared" si="0"/>
        <v>2.9508196721312441E-2</v>
      </c>
      <c r="I20" s="8">
        <v>60.98</v>
      </c>
      <c r="J20" s="8">
        <v>65.900000000000006</v>
      </c>
      <c r="K20" s="6">
        <f t="shared" si="6"/>
        <v>3.0327868852458892</v>
      </c>
      <c r="L20" s="6">
        <f t="shared" si="7"/>
        <v>3.1554054054053968</v>
      </c>
      <c r="M20" s="8">
        <v>1930</v>
      </c>
      <c r="N20" s="2">
        <v>1</v>
      </c>
      <c r="O20" s="2">
        <f t="shared" si="1"/>
        <v>15</v>
      </c>
      <c r="P20" s="2">
        <f t="shared" si="2"/>
        <v>1.220000000000006</v>
      </c>
      <c r="Q20" s="2">
        <f t="shared" si="3"/>
        <v>1.1840000000000046</v>
      </c>
      <c r="R20" s="9">
        <v>42585</v>
      </c>
      <c r="S20" s="7">
        <v>0.39079861111111108</v>
      </c>
      <c r="T20" s="8" t="s">
        <v>33</v>
      </c>
      <c r="U20" s="8">
        <v>60.98</v>
      </c>
      <c r="V20" s="8">
        <v>60.973999999999997</v>
      </c>
      <c r="W20" s="6">
        <f t="shared" si="10"/>
        <v>-5.0675675675677396E-3</v>
      </c>
      <c r="X20" s="2">
        <f t="shared" si="4"/>
        <v>-1.1900000000000048</v>
      </c>
      <c r="Y20" s="6">
        <f t="shared" ref="Y20" si="14">X20/P20</f>
        <v>-0.97540983606557297</v>
      </c>
      <c r="Z20" s="6">
        <f t="shared" si="11"/>
        <v>-5.786125087368247</v>
      </c>
      <c r="AA20" s="6">
        <f t="shared" si="5"/>
        <v>-17.850000000000072</v>
      </c>
      <c r="AB20" s="2">
        <v>-2</v>
      </c>
      <c r="AC20" s="6">
        <f t="shared" si="9"/>
        <v>1851.5549999999996</v>
      </c>
      <c r="AD20" s="8" t="s">
        <v>73</v>
      </c>
      <c r="AE20" s="12" t="s">
        <v>98</v>
      </c>
      <c r="AF20" s="18" t="s">
        <v>52</v>
      </c>
      <c r="AG20" s="13">
        <v>0</v>
      </c>
      <c r="AH20" s="13"/>
      <c r="AI20" s="8"/>
      <c r="AJ20" s="18" t="s">
        <v>99</v>
      </c>
    </row>
    <row r="21" spans="1:36" s="2" customFormat="1" x14ac:dyDescent="0.25">
      <c r="A21" s="2">
        <v>19</v>
      </c>
      <c r="B21" s="10">
        <v>42586</v>
      </c>
      <c r="C21" s="8" t="s">
        <v>14</v>
      </c>
      <c r="D21" s="5">
        <v>1</v>
      </c>
      <c r="E21" s="7">
        <v>0.37534722222222222</v>
      </c>
      <c r="F21" s="8">
        <v>21.78</v>
      </c>
      <c r="G21" s="8">
        <v>21.81</v>
      </c>
      <c r="H21" s="19">
        <f t="shared" si="0"/>
        <v>-6.5217391304342343E-2</v>
      </c>
      <c r="I21" s="8">
        <v>21.32</v>
      </c>
      <c r="J21" s="8">
        <v>23.5</v>
      </c>
      <c r="K21" s="6">
        <f t="shared" si="6"/>
        <v>3.7391304347825991</v>
      </c>
      <c r="L21" s="6">
        <f t="shared" si="7"/>
        <v>3.4489795918367485</v>
      </c>
      <c r="M21" s="8">
        <v>1873</v>
      </c>
      <c r="N21" s="2">
        <v>1</v>
      </c>
      <c r="O21" s="2">
        <f t="shared" si="1"/>
        <v>40</v>
      </c>
      <c r="P21" s="2">
        <f t="shared" si="2"/>
        <v>0.46000000000000085</v>
      </c>
      <c r="Q21" s="2">
        <f t="shared" si="3"/>
        <v>0.48999999999999844</v>
      </c>
      <c r="R21" s="9">
        <v>42598</v>
      </c>
      <c r="S21" s="7">
        <v>0.37534722222222222</v>
      </c>
      <c r="T21" s="8" t="s">
        <v>100</v>
      </c>
      <c r="U21" s="8">
        <v>22.5</v>
      </c>
      <c r="V21" s="8">
        <v>22.484999999999999</v>
      </c>
      <c r="W21" s="6">
        <f t="shared" si="10"/>
        <v>-3.0612244897960442E-2</v>
      </c>
      <c r="X21" s="2">
        <f t="shared" si="4"/>
        <v>0.67500000000000071</v>
      </c>
      <c r="Y21" s="6">
        <f t="shared" ref="Y21" si="15">X21/P21</f>
        <v>1.4673913043478248</v>
      </c>
      <c r="Z21" s="6">
        <f t="shared" si="11"/>
        <v>-4.3187337830204218</v>
      </c>
      <c r="AA21" s="6">
        <f t="shared" si="5"/>
        <v>27.000000000000028</v>
      </c>
      <c r="AB21" s="2">
        <v>-2</v>
      </c>
      <c r="AC21" s="6">
        <f t="shared" si="9"/>
        <v>1876.5549999999996</v>
      </c>
      <c r="AD21" s="11" t="s">
        <v>82</v>
      </c>
      <c r="AE21" s="16" t="s">
        <v>101</v>
      </c>
      <c r="AF21" s="15" t="s">
        <v>102</v>
      </c>
      <c r="AG21" s="13">
        <f>ABS((22.8-G21)/Q21)</f>
        <v>2.0204081632653166</v>
      </c>
      <c r="AH21" s="13">
        <f>AG21-Y21</f>
        <v>0.55301685891749175</v>
      </c>
      <c r="AI21" s="8">
        <v>8</v>
      </c>
      <c r="AJ21" s="18" t="s">
        <v>84</v>
      </c>
    </row>
    <row r="22" spans="1:36" s="2" customFormat="1" x14ac:dyDescent="0.25">
      <c r="A22" s="2">
        <v>20</v>
      </c>
      <c r="B22" s="10">
        <v>42586</v>
      </c>
      <c r="C22" s="8" t="s">
        <v>18</v>
      </c>
      <c r="D22" s="5">
        <v>1</v>
      </c>
      <c r="E22" s="7">
        <v>0.37546296296296294</v>
      </c>
      <c r="F22" s="8">
        <v>15.27</v>
      </c>
      <c r="G22" s="8">
        <v>15.28</v>
      </c>
      <c r="H22" s="19">
        <f t="shared" si="0"/>
        <v>-2.7027027027026529E-2</v>
      </c>
      <c r="I22" s="8">
        <v>14.9</v>
      </c>
      <c r="J22" s="8">
        <v>16.25</v>
      </c>
      <c r="K22" s="6">
        <f t="shared" si="6"/>
        <v>2.6486486486486553</v>
      </c>
      <c r="L22" s="6">
        <f t="shared" si="7"/>
        <v>2.5526315789473766</v>
      </c>
      <c r="M22" s="8">
        <v>1873</v>
      </c>
      <c r="N22" s="2">
        <v>1</v>
      </c>
      <c r="O22" s="2">
        <f t="shared" si="1"/>
        <v>50</v>
      </c>
      <c r="P22" s="2">
        <f t="shared" si="2"/>
        <v>0.36999999999999922</v>
      </c>
      <c r="Q22" s="2">
        <f t="shared" si="3"/>
        <v>0.37999999999999901</v>
      </c>
      <c r="R22" s="9">
        <v>42593</v>
      </c>
      <c r="S22" s="7">
        <v>0.37672453703703707</v>
      </c>
      <c r="T22" s="8" t="s">
        <v>33</v>
      </c>
      <c r="U22" s="8">
        <v>14.9</v>
      </c>
      <c r="V22" s="8">
        <v>14.324999999999999</v>
      </c>
      <c r="W22" s="23">
        <f t="shared" si="10"/>
        <v>-1.5131578947368489</v>
      </c>
      <c r="X22" s="2">
        <f t="shared" si="4"/>
        <v>-0.95500000000000007</v>
      </c>
      <c r="Y22" s="6">
        <f t="shared" ref="Y22" si="16">X22/P22</f>
        <v>-2.5810810810810869</v>
      </c>
      <c r="Z22" s="6">
        <f t="shared" si="11"/>
        <v>-6.8998148641015087</v>
      </c>
      <c r="AA22" s="6">
        <f t="shared" si="5"/>
        <v>-47.75</v>
      </c>
      <c r="AB22" s="2">
        <v>-2</v>
      </c>
      <c r="AC22" s="6">
        <f t="shared" si="9"/>
        <v>1826.8049999999996</v>
      </c>
      <c r="AD22" s="8" t="s">
        <v>73</v>
      </c>
      <c r="AE22" s="17" t="s">
        <v>72</v>
      </c>
      <c r="AF22" s="21" t="s">
        <v>103</v>
      </c>
      <c r="AG22" s="13">
        <f>ABS((15.69-G22)/Q22)</f>
        <v>1.0789473684210558</v>
      </c>
      <c r="AH22" s="22">
        <f>AG22-Y22</f>
        <v>3.6600284495021427</v>
      </c>
      <c r="AI22" s="8">
        <v>8</v>
      </c>
      <c r="AJ22" s="18" t="s">
        <v>84</v>
      </c>
    </row>
    <row r="23" spans="1:36" s="2" customFormat="1" x14ac:dyDescent="0.25">
      <c r="A23" s="2">
        <v>21</v>
      </c>
      <c r="B23" s="10">
        <v>42590</v>
      </c>
      <c r="C23" s="8" t="s">
        <v>15</v>
      </c>
      <c r="D23" s="5">
        <v>1</v>
      </c>
      <c r="E23" s="7">
        <v>0.38152777777777774</v>
      </c>
      <c r="F23" s="8">
        <v>74.27</v>
      </c>
      <c r="G23" s="8">
        <v>74.3</v>
      </c>
      <c r="H23" s="19">
        <f t="shared" si="0"/>
        <v>-3.0303030303031608E-2</v>
      </c>
      <c r="I23" s="8">
        <v>73.28</v>
      </c>
      <c r="J23" s="8">
        <v>76.900000000000006</v>
      </c>
      <c r="K23" s="6">
        <f t="shared" si="6"/>
        <v>2.6565656565656801</v>
      </c>
      <c r="L23" s="6">
        <f t="shared" si="7"/>
        <v>2.5490196078431557</v>
      </c>
      <c r="M23" s="8">
        <v>1871</v>
      </c>
      <c r="N23" s="2">
        <v>1</v>
      </c>
      <c r="O23" s="2">
        <f t="shared" si="1"/>
        <v>18</v>
      </c>
      <c r="P23" s="2">
        <f t="shared" si="2"/>
        <v>0.98999999999999488</v>
      </c>
      <c r="Q23" s="2">
        <f t="shared" si="3"/>
        <v>1.019999999999996</v>
      </c>
      <c r="R23" s="9">
        <v>42594</v>
      </c>
      <c r="S23" s="7">
        <v>0.50168981481481478</v>
      </c>
      <c r="T23" s="8" t="s">
        <v>57</v>
      </c>
      <c r="U23" s="8">
        <v>75.2</v>
      </c>
      <c r="V23" s="8">
        <v>75.14</v>
      </c>
      <c r="W23" s="19">
        <f t="shared" si="10"/>
        <v>-5.8823529411767161E-2</v>
      </c>
      <c r="X23" s="2">
        <f t="shared" si="4"/>
        <v>0.84000000000000341</v>
      </c>
      <c r="Y23" s="6">
        <f t="shared" ref="Y23" si="17">X23/P23</f>
        <v>0.84848484848485628</v>
      </c>
      <c r="Z23" s="6">
        <f t="shared" si="11"/>
        <v>-6.0513300156166521</v>
      </c>
      <c r="AA23" s="6">
        <f t="shared" si="5"/>
        <v>15.120000000000061</v>
      </c>
      <c r="AB23" s="2">
        <v>-2</v>
      </c>
      <c r="AC23" s="6">
        <f t="shared" si="9"/>
        <v>1839.9249999999997</v>
      </c>
      <c r="AD23" s="8" t="s">
        <v>75</v>
      </c>
      <c r="AE23" s="17" t="s">
        <v>104</v>
      </c>
      <c r="AF23" s="15" t="s">
        <v>105</v>
      </c>
      <c r="AG23" s="13">
        <f>ABS((75.9-G23)/Q23)</f>
        <v>1.5686274509804066</v>
      </c>
      <c r="AH23" s="24">
        <f>AG23-Y23</f>
        <v>0.72014260249555029</v>
      </c>
      <c r="AI23" s="8">
        <v>4</v>
      </c>
      <c r="AJ23" s="15" t="s">
        <v>106</v>
      </c>
    </row>
    <row r="24" spans="1:36" s="2" customFormat="1" x14ac:dyDescent="0.25">
      <c r="A24" s="2">
        <v>22</v>
      </c>
      <c r="B24" s="10">
        <v>42591</v>
      </c>
      <c r="C24" s="8" t="s">
        <v>20</v>
      </c>
      <c r="D24" s="4">
        <v>-1</v>
      </c>
      <c r="E24" s="7">
        <v>0.37590277777777775</v>
      </c>
      <c r="F24" s="8">
        <v>113.6</v>
      </c>
      <c r="G24" s="8">
        <v>113.65</v>
      </c>
      <c r="H24" s="20">
        <f t="shared" si="0"/>
        <v>5.8823529411777487E-2</v>
      </c>
      <c r="I24" s="8">
        <v>114.45</v>
      </c>
      <c r="J24" s="8">
        <v>111</v>
      </c>
      <c r="K24" s="6">
        <f t="shared" si="6"/>
        <v>3.0588235294117272</v>
      </c>
      <c r="L24" s="6">
        <f t="shared" si="7"/>
        <v>3.3125000000000191</v>
      </c>
      <c r="M24" s="8">
        <v>1851</v>
      </c>
      <c r="N24" s="2">
        <v>1</v>
      </c>
      <c r="O24" s="2">
        <f t="shared" si="1"/>
        <v>21</v>
      </c>
      <c r="P24" s="2">
        <f t="shared" si="2"/>
        <v>0.85000000000000853</v>
      </c>
      <c r="Q24" s="2">
        <f t="shared" si="3"/>
        <v>0.79999999999999716</v>
      </c>
      <c r="R24" s="9">
        <v>42591</v>
      </c>
      <c r="S24" s="7">
        <v>0.40552083333333333</v>
      </c>
      <c r="T24" s="8" t="s">
        <v>33</v>
      </c>
      <c r="U24" s="8">
        <v>114.45</v>
      </c>
      <c r="V24" s="8">
        <v>114.45</v>
      </c>
      <c r="W24" s="19">
        <f t="shared" si="10"/>
        <v>0</v>
      </c>
      <c r="X24" s="2">
        <f t="shared" si="4"/>
        <v>-0.79999999999999716</v>
      </c>
      <c r="Y24" s="6">
        <f t="shared" ref="Y24" si="18">X24/P24</f>
        <v>-0.94117647058822251</v>
      </c>
      <c r="Z24" s="6">
        <f t="shared" si="11"/>
        <v>-6.9925064862048742</v>
      </c>
      <c r="AA24" s="6">
        <f t="shared" si="5"/>
        <v>-16.79999999999994</v>
      </c>
      <c r="AB24" s="2">
        <v>-2</v>
      </c>
      <c r="AC24" s="6">
        <f t="shared" si="9"/>
        <v>1821.1249999999998</v>
      </c>
      <c r="AD24" s="11" t="s">
        <v>107</v>
      </c>
      <c r="AE24" s="12" t="s">
        <v>109</v>
      </c>
      <c r="AF24" s="18" t="s">
        <v>108</v>
      </c>
      <c r="AG24" s="13">
        <v>0</v>
      </c>
      <c r="AH24" s="24"/>
      <c r="AI24" s="8"/>
      <c r="AJ24" s="15" t="s">
        <v>111</v>
      </c>
    </row>
    <row r="25" spans="1:36" s="2" customFormat="1" x14ac:dyDescent="0.25">
      <c r="A25" s="2">
        <v>23</v>
      </c>
      <c r="B25" s="10">
        <v>42591</v>
      </c>
      <c r="C25" s="8" t="s">
        <v>19</v>
      </c>
      <c r="D25" s="5">
        <v>1</v>
      </c>
      <c r="E25" s="7">
        <v>0.37969907407407405</v>
      </c>
      <c r="F25" s="8">
        <v>9.33</v>
      </c>
      <c r="G25" s="8">
        <v>9.33</v>
      </c>
      <c r="H25" s="19">
        <f t="shared" si="0"/>
        <v>0</v>
      </c>
      <c r="I25" s="8">
        <v>9.19</v>
      </c>
      <c r="J25" s="8">
        <v>9.6999999999999993</v>
      </c>
      <c r="K25" s="6">
        <f t="shared" si="6"/>
        <v>2.6428571428571264</v>
      </c>
      <c r="L25" s="6">
        <f t="shared" si="7"/>
        <v>2.6428571428571264</v>
      </c>
      <c r="M25" s="8">
        <v>1851</v>
      </c>
      <c r="N25" s="2">
        <v>1</v>
      </c>
      <c r="O25" s="2">
        <f t="shared" si="1"/>
        <v>132</v>
      </c>
      <c r="P25" s="2">
        <f t="shared" si="2"/>
        <v>0.14000000000000057</v>
      </c>
      <c r="Q25" s="2">
        <f t="shared" si="3"/>
        <v>0.14000000000000057</v>
      </c>
      <c r="R25" s="9">
        <v>42592</v>
      </c>
      <c r="S25" s="7">
        <v>0.37688657407407411</v>
      </c>
      <c r="T25" s="8" t="s">
        <v>33</v>
      </c>
      <c r="U25" s="8">
        <v>9.19</v>
      </c>
      <c r="V25" s="8">
        <v>9.1140000000000008</v>
      </c>
      <c r="W25" s="14">
        <f t="shared" si="10"/>
        <v>-0.5428571428571316</v>
      </c>
      <c r="X25" s="2">
        <f t="shared" si="4"/>
        <v>-0.2159999999999993</v>
      </c>
      <c r="Y25" s="6">
        <f t="shared" ref="Y25" si="19">X25/P25</f>
        <v>-1.5428571428571316</v>
      </c>
      <c r="Z25" s="6">
        <f t="shared" si="11"/>
        <v>-8.5353636290620063</v>
      </c>
      <c r="AA25" s="6">
        <f t="shared" si="5"/>
        <v>-28.511999999999908</v>
      </c>
      <c r="AB25" s="2">
        <v>-2</v>
      </c>
      <c r="AC25" s="6">
        <f t="shared" si="9"/>
        <v>1790.6129999999998</v>
      </c>
      <c r="AD25" s="8" t="s">
        <v>73</v>
      </c>
      <c r="AE25" s="21" t="s">
        <v>103</v>
      </c>
      <c r="AF25" s="18" t="s">
        <v>110</v>
      </c>
      <c r="AG25" s="13">
        <f>ABS((9.45-G25)/Q25)</f>
        <v>0.8571428571428481</v>
      </c>
      <c r="AH25" s="22">
        <f>AG25-Y25</f>
        <v>2.3999999999999799</v>
      </c>
      <c r="AI25" s="8">
        <v>1</v>
      </c>
      <c r="AJ25" s="15" t="s">
        <v>112</v>
      </c>
    </row>
    <row r="26" spans="1:36" s="2" customFormat="1" x14ac:dyDescent="0.25">
      <c r="A26" s="2">
        <v>24</v>
      </c>
      <c r="B26" s="10">
        <v>42594</v>
      </c>
      <c r="C26" s="8" t="s">
        <v>17</v>
      </c>
      <c r="D26" s="4">
        <v>-1</v>
      </c>
      <c r="E26" s="7">
        <v>0.41530092592592593</v>
      </c>
      <c r="F26" s="8">
        <v>125.8</v>
      </c>
      <c r="G26" s="8">
        <v>125.8</v>
      </c>
      <c r="H26" s="19">
        <f t="shared" si="0"/>
        <v>0</v>
      </c>
      <c r="I26" s="8">
        <v>128</v>
      </c>
      <c r="J26" s="8">
        <v>116</v>
      </c>
      <c r="K26" s="6">
        <f t="shared" si="6"/>
        <v>4.4545454545454479</v>
      </c>
      <c r="L26" s="6">
        <f t="shared" si="7"/>
        <v>4.4545454545454479</v>
      </c>
      <c r="M26" s="8">
        <v>1752</v>
      </c>
      <c r="N26" s="2">
        <v>1</v>
      </c>
      <c r="O26" s="2">
        <f t="shared" si="1"/>
        <v>7</v>
      </c>
      <c r="P26" s="2">
        <f t="shared" si="2"/>
        <v>2.2000000000000028</v>
      </c>
      <c r="Q26" s="2">
        <f t="shared" si="3"/>
        <v>2.2000000000000028</v>
      </c>
      <c r="R26" s="9">
        <v>42604</v>
      </c>
      <c r="S26" s="7">
        <v>0.3984375</v>
      </c>
      <c r="T26" s="8" t="s">
        <v>57</v>
      </c>
      <c r="U26" s="8">
        <v>121.2</v>
      </c>
      <c r="V26" s="8">
        <v>121.2</v>
      </c>
      <c r="W26" s="19">
        <f t="shared" si="10"/>
        <v>0</v>
      </c>
      <c r="X26" s="2">
        <f t="shared" si="4"/>
        <v>4.5999999999999943</v>
      </c>
      <c r="Y26" s="6">
        <f t="shared" ref="Y26" si="20">X26/P26</f>
        <v>2.0909090909090855</v>
      </c>
      <c r="Z26" s="6">
        <f t="shared" si="11"/>
        <v>-6.4444545381529208</v>
      </c>
      <c r="AA26" s="6">
        <f t="shared" si="5"/>
        <v>32.19999999999996</v>
      </c>
      <c r="AB26" s="2">
        <v>-2</v>
      </c>
      <c r="AC26" s="6">
        <f t="shared" si="9"/>
        <v>1820.8129999999999</v>
      </c>
      <c r="AD26" s="11" t="s">
        <v>113</v>
      </c>
      <c r="AE26" s="16" t="s">
        <v>65</v>
      </c>
      <c r="AF26" s="15" t="s">
        <v>114</v>
      </c>
      <c r="AG26" s="13">
        <f>ABS((118.7-G26)/Q26)</f>
        <v>3.2272727272727204</v>
      </c>
      <c r="AH26" s="24">
        <f>AG26-Y26</f>
        <v>1.1363636363636349</v>
      </c>
      <c r="AI26" s="8">
        <v>6</v>
      </c>
      <c r="AJ26" s="15" t="s">
        <v>115</v>
      </c>
    </row>
    <row r="27" spans="1:36" s="2" customFormat="1" x14ac:dyDescent="0.25">
      <c r="A27" s="2">
        <v>25</v>
      </c>
      <c r="B27" s="10">
        <v>42597</v>
      </c>
      <c r="C27" s="8" t="s">
        <v>8</v>
      </c>
      <c r="D27" s="5">
        <v>1</v>
      </c>
      <c r="E27" s="7">
        <v>0.37708333333333338</v>
      </c>
      <c r="F27" s="8">
        <v>41.13</v>
      </c>
      <c r="G27" s="8">
        <v>41.27</v>
      </c>
      <c r="H27" s="14">
        <f t="shared" si="0"/>
        <v>-0.34999999999999654</v>
      </c>
      <c r="I27" s="8">
        <v>40.729999999999997</v>
      </c>
      <c r="J27" s="8">
        <v>43.2</v>
      </c>
      <c r="K27" s="6">
        <f t="shared" si="6"/>
        <v>5.174999999999927</v>
      </c>
      <c r="L27" s="6">
        <f t="shared" si="7"/>
        <v>3.5740740740740322</v>
      </c>
      <c r="M27" s="8">
        <v>1765</v>
      </c>
      <c r="N27" s="2">
        <v>1</v>
      </c>
      <c r="O27" s="2">
        <f t="shared" si="1"/>
        <v>44</v>
      </c>
      <c r="P27" s="2">
        <f t="shared" si="2"/>
        <v>0.40000000000000568</v>
      </c>
      <c r="Q27" s="2">
        <f t="shared" si="3"/>
        <v>0.54000000000000625</v>
      </c>
      <c r="R27" s="9">
        <v>42598</v>
      </c>
      <c r="S27" s="7">
        <v>0.42207175925925927</v>
      </c>
      <c r="T27" s="8" t="s">
        <v>33</v>
      </c>
      <c r="U27" s="8">
        <v>40.729999999999997</v>
      </c>
      <c r="V27" s="8">
        <v>40.72</v>
      </c>
      <c r="W27" s="19">
        <f t="shared" si="10"/>
        <v>-1.8518518518514621E-2</v>
      </c>
      <c r="X27" s="2">
        <f t="shared" si="4"/>
        <v>-0.55000000000000426</v>
      </c>
      <c r="Y27" s="6">
        <f t="shared" ref="Y27" si="21">X27/P27</f>
        <v>-1.3749999999999911</v>
      </c>
      <c r="Z27" s="6">
        <f t="shared" si="11"/>
        <v>-7.8194545381529119</v>
      </c>
      <c r="AA27" s="6">
        <f t="shared" si="5"/>
        <v>-24.200000000000188</v>
      </c>
      <c r="AB27" s="2">
        <v>-2</v>
      </c>
      <c r="AC27" s="6">
        <f t="shared" si="9"/>
        <v>1794.6129999999996</v>
      </c>
      <c r="AD27" s="11" t="s">
        <v>82</v>
      </c>
      <c r="AE27" s="12" t="s">
        <v>116</v>
      </c>
      <c r="AF27" s="21" t="s">
        <v>93</v>
      </c>
      <c r="AG27" s="13">
        <f>ABS((41.5-G27)/Q27)</f>
        <v>0.42592592592591522</v>
      </c>
      <c r="AH27" s="25"/>
      <c r="AI27" s="8">
        <v>1</v>
      </c>
      <c r="AJ27" s="15" t="s">
        <v>96</v>
      </c>
    </row>
    <row r="28" spans="1:36" s="2" customFormat="1" x14ac:dyDescent="0.25">
      <c r="A28" s="2">
        <v>26</v>
      </c>
      <c r="B28" s="10">
        <v>42597</v>
      </c>
      <c r="C28" s="8" t="s">
        <v>117</v>
      </c>
      <c r="D28" s="4">
        <v>-1</v>
      </c>
      <c r="E28" s="7">
        <v>0.37721064814814814</v>
      </c>
      <c r="F28" s="8">
        <v>44.61</v>
      </c>
      <c r="G28" s="8">
        <v>44.6</v>
      </c>
      <c r="H28" s="19">
        <f t="shared" si="0"/>
        <v>-1.6129032258061393E-2</v>
      </c>
      <c r="I28" s="8">
        <v>45.23</v>
      </c>
      <c r="J28" s="8">
        <v>41.6</v>
      </c>
      <c r="K28" s="6">
        <f t="shared" si="6"/>
        <v>4.8548387096774359</v>
      </c>
      <c r="L28" s="6">
        <f t="shared" si="7"/>
        <v>4.7619047619047965</v>
      </c>
      <c r="M28" s="8">
        <v>1765</v>
      </c>
      <c r="N28" s="2">
        <v>1</v>
      </c>
      <c r="O28" s="2">
        <f t="shared" si="1"/>
        <v>28</v>
      </c>
      <c r="P28" s="2">
        <f t="shared" si="2"/>
        <v>0.61999999999999744</v>
      </c>
      <c r="Q28" s="2">
        <f t="shared" si="3"/>
        <v>0.62999999999999545</v>
      </c>
      <c r="R28" s="9">
        <v>42604</v>
      </c>
      <c r="S28" s="7">
        <v>0.42814814814814817</v>
      </c>
      <c r="T28" s="8" t="s">
        <v>57</v>
      </c>
      <c r="U28" s="8">
        <v>43.35</v>
      </c>
      <c r="V28" s="8">
        <v>43.35</v>
      </c>
      <c r="W28" s="19">
        <f t="shared" si="10"/>
        <v>0</v>
      </c>
      <c r="X28" s="2">
        <f t="shared" si="4"/>
        <v>1.25</v>
      </c>
      <c r="Y28" s="6">
        <f t="shared" ref="Y28" si="22">X28/P28</f>
        <v>2.0161290322580729</v>
      </c>
      <c r="Z28" s="6">
        <f t="shared" si="11"/>
        <v>-5.803325505894839</v>
      </c>
      <c r="AA28" s="6">
        <f t="shared" si="5"/>
        <v>35</v>
      </c>
      <c r="AB28" s="2">
        <v>-2</v>
      </c>
      <c r="AC28" s="6">
        <f t="shared" si="9"/>
        <v>1827.6129999999996</v>
      </c>
      <c r="AD28" s="11" t="s">
        <v>82</v>
      </c>
      <c r="AE28" s="16" t="s">
        <v>118</v>
      </c>
      <c r="AF28" s="15" t="s">
        <v>114</v>
      </c>
      <c r="AG28" s="13">
        <f>ABS((42.02-G28)/Q28)</f>
        <v>4.0952380952381224</v>
      </c>
      <c r="AH28" s="22">
        <f>AG28-Y28</f>
        <v>2.0791090629800495</v>
      </c>
      <c r="AI28" s="8">
        <v>5</v>
      </c>
      <c r="AJ28" s="15" t="s">
        <v>119</v>
      </c>
    </row>
    <row r="29" spans="1:36" s="2" customFormat="1" x14ac:dyDescent="0.25">
      <c r="A29" s="2">
        <v>27</v>
      </c>
      <c r="B29" s="10">
        <v>42598</v>
      </c>
      <c r="C29" s="8" t="s">
        <v>22</v>
      </c>
      <c r="D29" s="4">
        <v>-1</v>
      </c>
      <c r="E29" s="7">
        <v>0.37534722222222222</v>
      </c>
      <c r="F29" s="8">
        <v>5.73</v>
      </c>
      <c r="G29" s="8">
        <v>5.6779999999999999</v>
      </c>
      <c r="H29" s="14">
        <f t="shared" si="0"/>
        <v>-0.57777777777778416</v>
      </c>
      <c r="I29" s="8">
        <v>5.82</v>
      </c>
      <c r="J29" s="8">
        <v>5.2</v>
      </c>
      <c r="K29" s="6">
        <f t="shared" si="6"/>
        <v>5.8888888888889008</v>
      </c>
      <c r="L29" s="6">
        <f t="shared" si="7"/>
        <v>3.3661971830985817</v>
      </c>
      <c r="M29" s="8">
        <v>1765</v>
      </c>
      <c r="N29" s="2">
        <v>1</v>
      </c>
      <c r="O29" s="2">
        <f t="shared" si="1"/>
        <v>196</v>
      </c>
      <c r="P29" s="2">
        <f t="shared" si="2"/>
        <v>8.9999999999999858E-2</v>
      </c>
      <c r="Q29" s="2">
        <f t="shared" si="3"/>
        <v>0.14200000000000035</v>
      </c>
      <c r="R29" s="9">
        <v>42604</v>
      </c>
      <c r="S29" s="7" t="s">
        <v>122</v>
      </c>
      <c r="T29" s="8" t="s">
        <v>33</v>
      </c>
      <c r="U29" s="8">
        <v>5.82</v>
      </c>
      <c r="V29" s="8">
        <v>5.82</v>
      </c>
      <c r="W29" s="19">
        <f t="shared" si="10"/>
        <v>0</v>
      </c>
      <c r="X29" s="2">
        <f t="shared" si="4"/>
        <v>-0.14200000000000035</v>
      </c>
      <c r="Y29" s="6">
        <f t="shared" ref="Y29" si="23">X29/P29</f>
        <v>-1.5777777777777842</v>
      </c>
      <c r="Z29" s="6">
        <f t="shared" si="11"/>
        <v>-7.3811032836726227</v>
      </c>
      <c r="AA29" s="6">
        <f t="shared" si="5"/>
        <v>-27.832000000000068</v>
      </c>
      <c r="AB29" s="2">
        <v>-2</v>
      </c>
      <c r="AC29" s="6">
        <f t="shared" si="9"/>
        <v>1797.7809999999995</v>
      </c>
      <c r="AD29" s="8" t="s">
        <v>69</v>
      </c>
      <c r="AE29" s="17" t="s">
        <v>120</v>
      </c>
      <c r="AF29" s="21" t="s">
        <v>93</v>
      </c>
      <c r="AG29" s="13">
        <v>0</v>
      </c>
      <c r="AH29" s="22"/>
      <c r="AI29" s="8"/>
      <c r="AJ29" s="15" t="s">
        <v>121</v>
      </c>
    </row>
    <row r="30" spans="1:36" s="2" customFormat="1" x14ac:dyDescent="0.25">
      <c r="A30" s="2">
        <v>28</v>
      </c>
      <c r="B30" s="10">
        <v>42598</v>
      </c>
      <c r="C30" s="8" t="s">
        <v>23</v>
      </c>
      <c r="D30" s="5">
        <v>1</v>
      </c>
      <c r="E30" s="7">
        <v>0.37600694444444444</v>
      </c>
      <c r="F30" s="8">
        <v>5.65</v>
      </c>
      <c r="G30" s="8">
        <v>5.649</v>
      </c>
      <c r="H30" s="19">
        <f t="shared" si="0"/>
        <v>5.2631578947386348E-3</v>
      </c>
      <c r="I30" s="8">
        <v>5.46</v>
      </c>
      <c r="J30" s="8">
        <v>6.4</v>
      </c>
      <c r="K30" s="6">
        <f t="shared" si="6"/>
        <v>3.9473684210526234</v>
      </c>
      <c r="L30" s="6">
        <f t="shared" si="7"/>
        <v>3.9735449735449739</v>
      </c>
      <c r="M30" s="8">
        <v>1765</v>
      </c>
      <c r="N30" s="2">
        <v>1</v>
      </c>
      <c r="O30" s="2">
        <f t="shared" si="1"/>
        <v>92</v>
      </c>
      <c r="P30" s="2">
        <f t="shared" si="2"/>
        <v>0.19000000000000039</v>
      </c>
      <c r="Q30" s="2">
        <f t="shared" si="3"/>
        <v>0.18900000000000006</v>
      </c>
      <c r="R30" s="9">
        <v>42604</v>
      </c>
      <c r="S30" s="7">
        <v>0.38266203703703705</v>
      </c>
      <c r="T30" s="8" t="s">
        <v>57</v>
      </c>
      <c r="U30" s="8">
        <v>5.58</v>
      </c>
      <c r="V30" s="8">
        <v>5.58</v>
      </c>
      <c r="W30" s="19">
        <f t="shared" si="10"/>
        <v>0</v>
      </c>
      <c r="X30" s="2">
        <f t="shared" si="4"/>
        <v>-6.899999999999995E-2</v>
      </c>
      <c r="Y30" s="6">
        <f t="shared" ref="Y30" si="24">X30/P30</f>
        <v>-0.36315789473684107</v>
      </c>
      <c r="Z30" s="6">
        <f t="shared" si="11"/>
        <v>-7.7442611784094639</v>
      </c>
      <c r="AA30" s="6">
        <f t="shared" si="5"/>
        <v>-6.3479999999999954</v>
      </c>
      <c r="AB30" s="2">
        <v>-2</v>
      </c>
      <c r="AC30" s="6">
        <f t="shared" si="9"/>
        <v>1789.4329999999995</v>
      </c>
      <c r="AD30" s="8" t="s">
        <v>73</v>
      </c>
      <c r="AE30" s="12" t="s">
        <v>123</v>
      </c>
      <c r="AF30" s="18" t="s">
        <v>125</v>
      </c>
      <c r="AG30" s="13">
        <f>ABS((5.88-G30)/Q30)</f>
        <v>1.2222222222222212</v>
      </c>
      <c r="AH30" s="24">
        <f>AG30-Y30</f>
        <v>1.5853801169590622</v>
      </c>
      <c r="AI30" s="8">
        <v>1</v>
      </c>
      <c r="AJ30" s="18" t="s">
        <v>124</v>
      </c>
    </row>
    <row r="31" spans="1:36" s="2" customFormat="1" x14ac:dyDescent="0.25">
      <c r="A31" s="2">
        <v>29</v>
      </c>
      <c r="B31" s="10">
        <v>42601</v>
      </c>
      <c r="C31" s="8" t="s">
        <v>24</v>
      </c>
      <c r="D31" s="5">
        <v>1</v>
      </c>
      <c r="E31" s="7">
        <v>0.3755208333333333</v>
      </c>
      <c r="F31" s="8">
        <v>97.1</v>
      </c>
      <c r="G31" s="8">
        <v>97.07</v>
      </c>
      <c r="H31" s="19">
        <f t="shared" si="0"/>
        <v>2.1428571428572352E-2</v>
      </c>
      <c r="I31" s="8">
        <v>95.7</v>
      </c>
      <c r="J31" s="8">
        <v>101.5</v>
      </c>
      <c r="K31" s="6">
        <f t="shared" si="6"/>
        <v>3.1428571428571659</v>
      </c>
      <c r="L31" s="6">
        <f t="shared" si="7"/>
        <v>3.2335766423357941</v>
      </c>
      <c r="M31" s="8">
        <v>1765</v>
      </c>
      <c r="N31" s="2">
        <v>1</v>
      </c>
      <c r="O31" s="2">
        <f t="shared" si="1"/>
        <v>12</v>
      </c>
      <c r="P31" s="2">
        <f t="shared" si="2"/>
        <v>1.3999999999999915</v>
      </c>
      <c r="Q31" s="2">
        <f t="shared" si="3"/>
        <v>1.3699999999999903</v>
      </c>
      <c r="R31" s="9">
        <v>42601</v>
      </c>
      <c r="S31" s="7">
        <v>0.41023148148148153</v>
      </c>
      <c r="T31" s="8" t="s">
        <v>33</v>
      </c>
      <c r="U31" s="8">
        <v>95.7</v>
      </c>
      <c r="V31" s="8">
        <v>95.66</v>
      </c>
      <c r="W31" s="19">
        <f t="shared" si="10"/>
        <v>-2.9197080291975572E-2</v>
      </c>
      <c r="X31" s="2">
        <f t="shared" si="4"/>
        <v>-1.4099999999999966</v>
      </c>
      <c r="Y31" s="6">
        <f t="shared" ref="Y31" si="25">X31/P31</f>
        <v>-1.0071428571428609</v>
      </c>
      <c r="Z31" s="6">
        <f t="shared" si="11"/>
        <v>-8.7514040355523246</v>
      </c>
      <c r="AA31" s="6">
        <f t="shared" si="5"/>
        <v>-16.919999999999959</v>
      </c>
      <c r="AB31" s="2">
        <v>-2</v>
      </c>
      <c r="AC31" s="6">
        <f t="shared" si="9"/>
        <v>1770.5129999999995</v>
      </c>
      <c r="AD31" s="8" t="s">
        <v>126</v>
      </c>
      <c r="AE31" s="12" t="s">
        <v>127</v>
      </c>
      <c r="AF31" s="18" t="s">
        <v>52</v>
      </c>
      <c r="AG31" s="13">
        <v>0</v>
      </c>
      <c r="AH31" s="24"/>
      <c r="AI31" s="8"/>
      <c r="AJ31" s="15" t="s">
        <v>121</v>
      </c>
    </row>
    <row r="32" spans="1:36" s="2" customFormat="1" x14ac:dyDescent="0.25">
      <c r="A32" s="2">
        <v>30</v>
      </c>
      <c r="B32" s="10">
        <v>42601</v>
      </c>
      <c r="C32" s="8" t="s">
        <v>9</v>
      </c>
      <c r="D32" s="5">
        <v>1</v>
      </c>
      <c r="E32" s="7">
        <v>0.37670138888888888</v>
      </c>
      <c r="F32" s="8">
        <v>85.38</v>
      </c>
      <c r="G32" s="8">
        <v>85.38</v>
      </c>
      <c r="H32" s="19">
        <f t="shared" si="0"/>
        <v>0</v>
      </c>
      <c r="I32" s="8">
        <v>84.4</v>
      </c>
      <c r="J32" s="8">
        <v>88.65</v>
      </c>
      <c r="K32" s="6">
        <f t="shared" si="6"/>
        <v>3.3367346938775961</v>
      </c>
      <c r="L32" s="6">
        <f t="shared" si="7"/>
        <v>3.3367346938775961</v>
      </c>
      <c r="M32" s="8">
        <v>1765</v>
      </c>
      <c r="N32" s="2">
        <v>1</v>
      </c>
      <c r="O32" s="2">
        <f t="shared" si="1"/>
        <v>18</v>
      </c>
      <c r="P32" s="2">
        <f t="shared" si="2"/>
        <v>0.97999999999998977</v>
      </c>
      <c r="Q32" s="2">
        <f t="shared" si="3"/>
        <v>0.97999999999998977</v>
      </c>
      <c r="R32" s="9">
        <v>42601</v>
      </c>
      <c r="S32" s="7">
        <v>0.39197916666666671</v>
      </c>
      <c r="T32" s="8" t="s">
        <v>33</v>
      </c>
      <c r="U32" s="8">
        <v>84.4</v>
      </c>
      <c r="V32" s="8">
        <v>84.4</v>
      </c>
      <c r="W32" s="19">
        <f t="shared" si="10"/>
        <v>0</v>
      </c>
      <c r="X32" s="2">
        <f t="shared" si="4"/>
        <v>-0.97999999999998977</v>
      </c>
      <c r="Y32" s="6">
        <f t="shared" ref="Y32" si="26">X32/P32</f>
        <v>-1</v>
      </c>
      <c r="Z32" s="6">
        <f t="shared" si="11"/>
        <v>-9.7514040355523246</v>
      </c>
      <c r="AA32" s="6">
        <f t="shared" si="5"/>
        <v>-17.639999999999816</v>
      </c>
      <c r="AB32" s="2">
        <v>-2</v>
      </c>
      <c r="AC32" s="6">
        <f t="shared" si="9"/>
        <v>1750.8729999999996</v>
      </c>
      <c r="AD32" s="8" t="s">
        <v>73</v>
      </c>
      <c r="AE32" s="12" t="s">
        <v>127</v>
      </c>
      <c r="AF32" s="18" t="s">
        <v>52</v>
      </c>
      <c r="AG32" s="13">
        <v>0</v>
      </c>
      <c r="AH32" s="24"/>
      <c r="AI32" s="8"/>
      <c r="AJ32" s="18" t="s">
        <v>128</v>
      </c>
    </row>
    <row r="33" spans="1:37" s="2" customFormat="1" x14ac:dyDescent="0.25">
      <c r="A33" s="2">
        <v>31</v>
      </c>
      <c r="B33" s="10">
        <v>42604</v>
      </c>
      <c r="C33" s="8" t="s">
        <v>25</v>
      </c>
      <c r="D33" s="5">
        <v>1</v>
      </c>
      <c r="E33" s="7">
        <v>0.37717592592592591</v>
      </c>
      <c r="F33" s="8">
        <v>117.7</v>
      </c>
      <c r="G33" s="8">
        <v>117.85</v>
      </c>
      <c r="H33" s="19">
        <f t="shared" si="0"/>
        <v>-0.10714285714285054</v>
      </c>
      <c r="I33" s="8">
        <v>116.3</v>
      </c>
      <c r="J33" s="8">
        <v>123</v>
      </c>
      <c r="K33" s="6">
        <f t="shared" si="6"/>
        <v>3.7857142857142683</v>
      </c>
      <c r="L33" s="6">
        <f t="shared" si="7"/>
        <v>3.3225806451613003</v>
      </c>
      <c r="M33" s="8">
        <v>1723</v>
      </c>
      <c r="N33" s="2">
        <v>1</v>
      </c>
      <c r="O33" s="2">
        <f t="shared" si="1"/>
        <v>12</v>
      </c>
      <c r="P33" s="2">
        <f t="shared" si="2"/>
        <v>1.4000000000000057</v>
      </c>
      <c r="Q33" s="2">
        <f t="shared" si="3"/>
        <v>1.5499999999999972</v>
      </c>
      <c r="R33" s="9">
        <v>42604</v>
      </c>
      <c r="S33" s="7">
        <v>0.5430787037037037</v>
      </c>
      <c r="T33" s="8" t="s">
        <v>33</v>
      </c>
      <c r="U33" s="8">
        <v>116.3</v>
      </c>
      <c r="V33" s="8">
        <v>116.1</v>
      </c>
      <c r="W33" s="14">
        <f t="shared" si="10"/>
        <v>-0.12903225806451821</v>
      </c>
      <c r="X33" s="2">
        <f t="shared" si="4"/>
        <v>-1.75</v>
      </c>
      <c r="Y33" s="6">
        <f t="shared" ref="Y33" si="27">X33/P33</f>
        <v>-1.2499999999999949</v>
      </c>
      <c r="Z33" s="6">
        <f t="shared" si="11"/>
        <v>-11.001404035552319</v>
      </c>
      <c r="AA33" s="6">
        <f t="shared" si="5"/>
        <v>-21</v>
      </c>
      <c r="AB33" s="2">
        <v>-2</v>
      </c>
      <c r="AC33" s="6">
        <f t="shared" si="9"/>
        <v>1727.8729999999996</v>
      </c>
      <c r="AD33" s="8" t="s">
        <v>73</v>
      </c>
      <c r="AE33" s="18" t="s">
        <v>52</v>
      </c>
      <c r="AF33" s="18" t="s">
        <v>52</v>
      </c>
      <c r="AG33" s="13">
        <v>0</v>
      </c>
      <c r="AH33" s="24"/>
      <c r="AI33" s="8"/>
      <c r="AJ33" s="18" t="s">
        <v>128</v>
      </c>
    </row>
    <row r="34" spans="1:37" s="2" customFormat="1" x14ac:dyDescent="0.25">
      <c r="A34" s="2">
        <v>32</v>
      </c>
      <c r="B34" s="10">
        <v>42605</v>
      </c>
      <c r="C34" s="8" t="s">
        <v>0</v>
      </c>
      <c r="D34" s="5">
        <v>1</v>
      </c>
      <c r="E34" s="7">
        <v>0.37533564814814818</v>
      </c>
      <c r="F34" s="8">
        <v>19.37</v>
      </c>
      <c r="G34" s="8">
        <v>19.37</v>
      </c>
      <c r="H34" s="19">
        <f t="shared" si="0"/>
        <v>0</v>
      </c>
      <c r="I34" s="8">
        <v>19.100000000000001</v>
      </c>
      <c r="J34" s="8">
        <v>20.2</v>
      </c>
      <c r="K34" s="6">
        <f t="shared" si="6"/>
        <v>3.0740740740740726</v>
      </c>
      <c r="L34" s="6">
        <f t="shared" si="7"/>
        <v>3.0740740740740726</v>
      </c>
      <c r="M34" s="8">
        <v>1759</v>
      </c>
      <c r="N34" s="2">
        <v>1</v>
      </c>
      <c r="O34" s="2">
        <f t="shared" si="1"/>
        <v>65</v>
      </c>
      <c r="P34" s="2">
        <f t="shared" si="2"/>
        <v>0.26999999999999957</v>
      </c>
      <c r="Q34" s="2">
        <f t="shared" si="3"/>
        <v>0.26999999999999957</v>
      </c>
      <c r="R34" s="9">
        <v>42607</v>
      </c>
      <c r="S34" s="7">
        <v>0.41685185185185186</v>
      </c>
      <c r="T34" s="8" t="s">
        <v>33</v>
      </c>
      <c r="U34" s="8">
        <v>19.100000000000001</v>
      </c>
      <c r="V34" s="8">
        <v>19.105</v>
      </c>
      <c r="W34" s="19">
        <f t="shared" si="10"/>
        <v>1.8518518518514864E-2</v>
      </c>
      <c r="X34" s="2">
        <f t="shared" si="4"/>
        <v>-0.26500000000000057</v>
      </c>
      <c r="Y34" s="6">
        <f t="shared" ref="Y34" si="28">X34/P34</f>
        <v>-0.98148148148148517</v>
      </c>
      <c r="Z34" s="6">
        <f t="shared" si="11"/>
        <v>-11.982885517033804</v>
      </c>
      <c r="AA34" s="6">
        <f t="shared" si="5"/>
        <v>-17.225000000000037</v>
      </c>
      <c r="AB34" s="2">
        <v>-2</v>
      </c>
      <c r="AC34" s="6">
        <f t="shared" si="9"/>
        <v>1708.6479999999995</v>
      </c>
      <c r="AD34" s="11" t="s">
        <v>129</v>
      </c>
      <c r="AE34" s="18" t="s">
        <v>52</v>
      </c>
      <c r="AF34" s="18" t="s">
        <v>130</v>
      </c>
      <c r="AG34" s="13">
        <v>0</v>
      </c>
      <c r="AH34" s="24"/>
      <c r="AI34" s="8"/>
      <c r="AJ34" s="21" t="s">
        <v>131</v>
      </c>
    </row>
    <row r="35" spans="1:37" s="2" customFormat="1" x14ac:dyDescent="0.25">
      <c r="A35" s="2">
        <v>33</v>
      </c>
      <c r="B35" s="10">
        <v>42633</v>
      </c>
      <c r="C35" s="8" t="s">
        <v>6</v>
      </c>
      <c r="D35" s="5">
        <v>1</v>
      </c>
      <c r="E35" s="7">
        <v>0.37883101851851847</v>
      </c>
      <c r="F35" s="8">
        <v>131.69999999999999</v>
      </c>
      <c r="G35" s="8">
        <v>131.65</v>
      </c>
      <c r="H35" s="19">
        <f t="shared" si="0"/>
        <v>3.846153846152589E-2</v>
      </c>
      <c r="I35" s="8">
        <v>130.4</v>
      </c>
      <c r="J35" s="8">
        <v>136.69999999999999</v>
      </c>
      <c r="K35" s="6">
        <f t="shared" si="6"/>
        <v>3.8461538461538964</v>
      </c>
      <c r="L35" s="6">
        <f t="shared" si="7"/>
        <v>4.0399999999999867</v>
      </c>
      <c r="M35" s="8">
        <v>1740</v>
      </c>
      <c r="N35" s="2">
        <v>1</v>
      </c>
      <c r="O35" s="2">
        <f t="shared" si="1"/>
        <v>13</v>
      </c>
      <c r="P35" s="2">
        <f t="shared" si="2"/>
        <v>1.2999999999999829</v>
      </c>
      <c r="Q35" s="2">
        <f t="shared" si="3"/>
        <v>1.25</v>
      </c>
      <c r="R35" s="9">
        <v>42635</v>
      </c>
      <c r="S35" s="7">
        <v>0.62760416666666663</v>
      </c>
      <c r="T35" s="8" t="s">
        <v>34</v>
      </c>
      <c r="U35" s="8">
        <v>136.69999999999999</v>
      </c>
      <c r="V35" s="8">
        <v>136.69999999999999</v>
      </c>
      <c r="W35" s="19">
        <f t="shared" si="10"/>
        <v>0</v>
      </c>
      <c r="X35" s="2">
        <f t="shared" si="4"/>
        <v>5.0499999999999829</v>
      </c>
      <c r="Y35" s="6">
        <f t="shared" ref="Y35" si="29">X35/P35</f>
        <v>3.8846153846154223</v>
      </c>
      <c r="Z35" s="6">
        <f t="shared" si="11"/>
        <v>-8.0982701324183815</v>
      </c>
      <c r="AA35" s="6">
        <f t="shared" si="5"/>
        <v>65.649999999999778</v>
      </c>
      <c r="AB35" s="2">
        <v>-2</v>
      </c>
      <c r="AC35" s="6">
        <f t="shared" si="9"/>
        <v>1772.2979999999993</v>
      </c>
      <c r="AD35" s="11" t="s">
        <v>129</v>
      </c>
      <c r="AE35" s="18" t="s">
        <v>67</v>
      </c>
      <c r="AF35" s="15" t="s">
        <v>132</v>
      </c>
      <c r="AG35" s="13">
        <f>ABS((137.25-G35)/Q35)</f>
        <v>4.4799999999999951</v>
      </c>
      <c r="AH35" s="24">
        <f>AG35-Y35</f>
        <v>0.59538461538457277</v>
      </c>
      <c r="AI35" s="8">
        <v>3</v>
      </c>
      <c r="AJ35" s="15" t="s">
        <v>133</v>
      </c>
    </row>
    <row r="36" spans="1:37" s="2" customFormat="1" x14ac:dyDescent="0.25">
      <c r="A36" s="2">
        <v>34</v>
      </c>
      <c r="B36" s="10">
        <v>42634</v>
      </c>
      <c r="C36" s="8" t="s">
        <v>9</v>
      </c>
      <c r="D36" s="4">
        <v>-1</v>
      </c>
      <c r="E36" s="7">
        <v>0.4378009259259259</v>
      </c>
      <c r="F36" s="8">
        <v>86.85</v>
      </c>
      <c r="G36" s="8">
        <v>86.85</v>
      </c>
      <c r="H36" s="19">
        <f t="shared" si="0"/>
        <v>0</v>
      </c>
      <c r="I36" s="8">
        <v>87.65</v>
      </c>
      <c r="J36" s="8">
        <v>84</v>
      </c>
      <c r="K36" s="6">
        <f t="shared" si="6"/>
        <v>3.5624999999999423</v>
      </c>
      <c r="L36" s="6">
        <f t="shared" si="7"/>
        <v>3.5624999999999423</v>
      </c>
      <c r="M36" s="8">
        <v>1740</v>
      </c>
      <c r="N36" s="2">
        <v>1</v>
      </c>
      <c r="O36" s="2">
        <f t="shared" si="1"/>
        <v>21</v>
      </c>
      <c r="P36" s="2">
        <f t="shared" si="2"/>
        <v>0.80000000000001137</v>
      </c>
      <c r="Q36" s="2">
        <f t="shared" si="3"/>
        <v>0.80000000000001137</v>
      </c>
      <c r="R36" s="9">
        <v>42634</v>
      </c>
      <c r="S36" s="7">
        <v>0.54827546296296303</v>
      </c>
      <c r="T36" s="8" t="s">
        <v>33</v>
      </c>
      <c r="U36" s="8">
        <v>87.65</v>
      </c>
      <c r="V36" s="8">
        <v>87.65</v>
      </c>
      <c r="W36" s="19">
        <f t="shared" si="10"/>
        <v>0</v>
      </c>
      <c r="X36" s="2">
        <f t="shared" si="4"/>
        <v>-0.80000000000001137</v>
      </c>
      <c r="Y36" s="6">
        <f t="shared" ref="Y36" si="30">X36/P36</f>
        <v>-1</v>
      </c>
      <c r="Z36" s="6">
        <f t="shared" si="11"/>
        <v>-9.0982701324183815</v>
      </c>
      <c r="AA36" s="6">
        <f t="shared" si="5"/>
        <v>-16.800000000000239</v>
      </c>
      <c r="AB36" s="2">
        <v>-2</v>
      </c>
      <c r="AC36" s="6">
        <f t="shared" si="9"/>
        <v>1753.4979999999991</v>
      </c>
      <c r="AD36" s="11" t="s">
        <v>134</v>
      </c>
      <c r="AE36" s="18" t="s">
        <v>135</v>
      </c>
      <c r="AF36" s="18" t="s">
        <v>136</v>
      </c>
      <c r="AG36" s="13">
        <v>0</v>
      </c>
      <c r="AH36" s="24"/>
      <c r="AI36" s="8"/>
      <c r="AJ36" s="18" t="s">
        <v>137</v>
      </c>
    </row>
    <row r="37" spans="1:37" s="2" customFormat="1" x14ac:dyDescent="0.25">
      <c r="A37" s="2">
        <v>35</v>
      </c>
      <c r="B37" s="10">
        <v>42639</v>
      </c>
      <c r="C37" s="8" t="s">
        <v>138</v>
      </c>
      <c r="D37" s="4">
        <v>-1</v>
      </c>
      <c r="E37" s="7">
        <v>0.37627314814814811</v>
      </c>
      <c r="F37" s="8">
        <v>242</v>
      </c>
      <c r="G37" s="8">
        <v>242</v>
      </c>
      <c r="H37" s="19">
        <f t="shared" si="0"/>
        <v>0</v>
      </c>
      <c r="I37" s="8">
        <v>244.35</v>
      </c>
      <c r="J37" s="8">
        <v>231</v>
      </c>
      <c r="K37" s="6">
        <f t="shared" si="6"/>
        <v>4.6808510638297989</v>
      </c>
      <c r="L37" s="6">
        <f t="shared" si="7"/>
        <v>4.6808510638297989</v>
      </c>
      <c r="M37" s="8">
        <v>1785</v>
      </c>
      <c r="N37" s="2">
        <v>1</v>
      </c>
      <c r="O37" s="2">
        <f t="shared" si="1"/>
        <v>7</v>
      </c>
      <c r="P37" s="2">
        <f t="shared" si="2"/>
        <v>2.3499999999999943</v>
      </c>
      <c r="Q37" s="2">
        <f t="shared" si="3"/>
        <v>2.3499999999999943</v>
      </c>
      <c r="R37" s="9">
        <v>42640</v>
      </c>
      <c r="S37" s="7">
        <v>0.37643518518518521</v>
      </c>
      <c r="T37" s="8" t="s">
        <v>33</v>
      </c>
      <c r="U37" s="8">
        <v>244.35</v>
      </c>
      <c r="V37" s="8">
        <v>244.4</v>
      </c>
      <c r="W37" s="19">
        <f t="shared" si="10"/>
        <v>-2.1276595744685739E-2</v>
      </c>
      <c r="X37" s="2">
        <f t="shared" si="4"/>
        <v>-2.4000000000000057</v>
      </c>
      <c r="Y37" s="6">
        <f t="shared" ref="Y37" si="31">X37/P37</f>
        <v>-1.0212765957446857</v>
      </c>
      <c r="Z37" s="6">
        <f t="shared" si="11"/>
        <v>-10.119546728163067</v>
      </c>
      <c r="AA37" s="6">
        <f t="shared" si="5"/>
        <v>-16.80000000000004</v>
      </c>
      <c r="AB37" s="2">
        <v>-2</v>
      </c>
      <c r="AC37" s="6">
        <f t="shared" si="9"/>
        <v>1734.6979999999992</v>
      </c>
      <c r="AD37" s="11" t="s">
        <v>134</v>
      </c>
      <c r="AE37" s="18" t="s">
        <v>139</v>
      </c>
      <c r="AF37" s="21" t="s">
        <v>81</v>
      </c>
      <c r="AG37" s="13">
        <f>ABS((239.2-G37)/Q37)</f>
        <v>1.1914893617021354</v>
      </c>
      <c r="AH37" s="22">
        <f t="shared" ref="AH37:AH46" si="32">AG37-Y37</f>
        <v>2.212765957446821</v>
      </c>
      <c r="AI37" s="8">
        <v>1</v>
      </c>
      <c r="AJ37" s="18" t="s">
        <v>140</v>
      </c>
    </row>
    <row r="38" spans="1:37" s="2" customFormat="1" x14ac:dyDescent="0.25">
      <c r="A38" s="2">
        <v>36</v>
      </c>
      <c r="B38" s="10">
        <v>42639</v>
      </c>
      <c r="C38" s="8" t="s">
        <v>26</v>
      </c>
      <c r="D38" s="4">
        <v>-1</v>
      </c>
      <c r="E38" s="7">
        <v>0.37646990740740738</v>
      </c>
      <c r="F38" s="8">
        <v>144.4</v>
      </c>
      <c r="G38" s="8">
        <v>143.75</v>
      </c>
      <c r="H38" s="14">
        <f t="shared" si="0"/>
        <v>-0.34210526315789669</v>
      </c>
      <c r="I38" s="8">
        <v>146.30000000000001</v>
      </c>
      <c r="J38" s="8">
        <v>136</v>
      </c>
      <c r="K38" s="6">
        <f t="shared" si="6"/>
        <v>4.4210526315789371</v>
      </c>
      <c r="L38" s="6">
        <f t="shared" si="7"/>
        <v>3.0392156862744963</v>
      </c>
      <c r="M38" s="8">
        <v>1785</v>
      </c>
      <c r="N38" s="2">
        <v>1</v>
      </c>
      <c r="O38" s="2">
        <f t="shared" si="1"/>
        <v>9</v>
      </c>
      <c r="P38" s="2">
        <f t="shared" si="2"/>
        <v>1.9000000000000057</v>
      </c>
      <c r="Q38" s="2">
        <f t="shared" si="3"/>
        <v>2.5500000000000114</v>
      </c>
      <c r="R38" s="9">
        <v>42641</v>
      </c>
      <c r="S38" s="7">
        <v>0.38900462962962962</v>
      </c>
      <c r="T38" s="8" t="s">
        <v>33</v>
      </c>
      <c r="U38" s="8">
        <v>146.30000000000001</v>
      </c>
      <c r="V38" s="8">
        <v>146.35</v>
      </c>
      <c r="W38" s="19">
        <f t="shared" si="10"/>
        <v>-1.9607843137248126E-2</v>
      </c>
      <c r="X38" s="2">
        <f t="shared" si="4"/>
        <v>-2.5999999999999943</v>
      </c>
      <c r="Y38" s="6">
        <f t="shared" ref="Y38:Y39" si="33">X38/P38</f>
        <v>-1.3684210526315719</v>
      </c>
      <c r="Z38" s="6">
        <f t="shared" si="11"/>
        <v>-11.487967780794639</v>
      </c>
      <c r="AA38" s="6">
        <f t="shared" si="5"/>
        <v>-23.399999999999949</v>
      </c>
      <c r="AB38" s="2">
        <v>-2</v>
      </c>
      <c r="AC38" s="6">
        <f t="shared" si="9"/>
        <v>1709.2979999999993</v>
      </c>
      <c r="AD38" s="8" t="s">
        <v>73</v>
      </c>
      <c r="AE38" s="18" t="s">
        <v>141</v>
      </c>
      <c r="AF38" s="21" t="s">
        <v>93</v>
      </c>
      <c r="AG38" s="13">
        <f>ABS((141.3-G38)/Q38)</f>
        <v>0.96078431372548145</v>
      </c>
      <c r="AH38" s="22">
        <f t="shared" si="32"/>
        <v>2.3292053663570531</v>
      </c>
      <c r="AI38" s="8">
        <v>2</v>
      </c>
      <c r="AJ38" s="15" t="s">
        <v>142</v>
      </c>
    </row>
    <row r="39" spans="1:37" s="2" customFormat="1" x14ac:dyDescent="0.25">
      <c r="A39" s="2">
        <v>37</v>
      </c>
      <c r="B39" s="10">
        <v>42641</v>
      </c>
      <c r="C39" s="8" t="s">
        <v>155</v>
      </c>
      <c r="D39" s="4">
        <v>-1</v>
      </c>
      <c r="E39" s="7">
        <v>0.6814930555555555</v>
      </c>
      <c r="F39" s="8">
        <v>105.3</v>
      </c>
      <c r="G39" s="8">
        <v>105.25</v>
      </c>
      <c r="H39" s="19">
        <f t="shared" si="0"/>
        <v>-3.1249999999998002E-2</v>
      </c>
      <c r="I39" s="8">
        <v>106.9</v>
      </c>
      <c r="J39" s="8">
        <v>102</v>
      </c>
      <c r="K39" s="6">
        <f t="shared" si="6"/>
        <v>2.0624999999999871</v>
      </c>
      <c r="L39" s="6">
        <f t="shared" si="7"/>
        <v>1.9696969696969628</v>
      </c>
      <c r="M39" s="8">
        <v>1765</v>
      </c>
      <c r="N39" s="2">
        <v>1</v>
      </c>
      <c r="O39" s="2">
        <f t="shared" si="1"/>
        <v>11</v>
      </c>
      <c r="P39" s="2">
        <f t="shared" si="2"/>
        <v>1.6000000000000085</v>
      </c>
      <c r="Q39" s="2">
        <f t="shared" si="3"/>
        <v>1.6500000000000057</v>
      </c>
      <c r="R39" s="9">
        <v>42646</v>
      </c>
      <c r="S39" s="7">
        <v>0.61224537037037041</v>
      </c>
      <c r="T39" s="8" t="s">
        <v>33</v>
      </c>
      <c r="U39" s="8">
        <v>106.9</v>
      </c>
      <c r="V39" s="8">
        <v>106.9</v>
      </c>
      <c r="W39" s="19">
        <f t="shared" si="10"/>
        <v>0</v>
      </c>
      <c r="X39" s="2">
        <f t="shared" si="4"/>
        <v>-1.6500000000000057</v>
      </c>
      <c r="Y39" s="6">
        <f t="shared" si="33"/>
        <v>-1.031249999999998</v>
      </c>
      <c r="Z39" s="6">
        <f t="shared" si="11"/>
        <v>-12.519217780794637</v>
      </c>
      <c r="AA39" s="6">
        <f t="shared" si="5"/>
        <v>-18.150000000000063</v>
      </c>
      <c r="AB39" s="2">
        <v>-2</v>
      </c>
      <c r="AC39" s="6">
        <f t="shared" si="9"/>
        <v>1689.1479999999992</v>
      </c>
      <c r="AD39" s="11" t="s">
        <v>134</v>
      </c>
      <c r="AE39" s="18" t="s">
        <v>156</v>
      </c>
      <c r="AF39" s="21" t="s">
        <v>158</v>
      </c>
      <c r="AG39" s="13">
        <f>ABS((103.7-G39)/Q39)</f>
        <v>0.93939393939393445</v>
      </c>
      <c r="AH39" s="25">
        <f t="shared" si="32"/>
        <v>1.9706439393939323</v>
      </c>
      <c r="AI39" s="8">
        <v>3</v>
      </c>
      <c r="AJ39" s="15" t="s">
        <v>157</v>
      </c>
    </row>
    <row r="40" spans="1:37" s="2" customFormat="1" x14ac:dyDescent="0.25">
      <c r="A40" s="2">
        <v>38</v>
      </c>
      <c r="B40" s="10">
        <v>42642</v>
      </c>
      <c r="C40" s="8" t="s">
        <v>22</v>
      </c>
      <c r="D40" s="5">
        <v>1</v>
      </c>
      <c r="E40" s="7">
        <v>0.37679398148148152</v>
      </c>
      <c r="F40" s="8">
        <v>6.06</v>
      </c>
      <c r="G40" s="8">
        <v>6.09</v>
      </c>
      <c r="H40" s="14">
        <f t="shared" si="0"/>
        <v>-0.1304347826086969</v>
      </c>
      <c r="I40" s="8">
        <v>5.83</v>
      </c>
      <c r="J40" s="8">
        <v>6.6</v>
      </c>
      <c r="K40" s="6">
        <f t="shared" si="6"/>
        <v>2.3478260869565264</v>
      </c>
      <c r="L40" s="6">
        <f t="shared" si="7"/>
        <v>1.9615384615384623</v>
      </c>
      <c r="M40" s="8">
        <v>1740</v>
      </c>
      <c r="N40" s="2">
        <v>1</v>
      </c>
      <c r="O40" s="2">
        <f t="shared" si="1"/>
        <v>75</v>
      </c>
      <c r="P40" s="2">
        <f t="shared" si="2"/>
        <v>0.22999999999999954</v>
      </c>
      <c r="Q40" s="2">
        <f t="shared" si="3"/>
        <v>0.25999999999999979</v>
      </c>
      <c r="R40" s="9">
        <v>42642</v>
      </c>
      <c r="S40" s="7">
        <v>0.52575231481481477</v>
      </c>
      <c r="T40" s="8" t="s">
        <v>33</v>
      </c>
      <c r="U40" s="8">
        <v>5.83</v>
      </c>
      <c r="V40" s="8">
        <v>5.83</v>
      </c>
      <c r="W40" s="19">
        <f t="shared" si="10"/>
        <v>0</v>
      </c>
      <c r="X40" s="2">
        <f t="shared" si="4"/>
        <v>-0.25999999999999979</v>
      </c>
      <c r="Y40" s="6">
        <f t="shared" ref="Y40:Y41" si="34">X40/P40</f>
        <v>-1.1304347826086969</v>
      </c>
      <c r="Z40" s="6">
        <f>Z38+Y40</f>
        <v>-12.618402563403336</v>
      </c>
      <c r="AA40" s="6">
        <f t="shared" si="5"/>
        <v>-19.499999999999986</v>
      </c>
      <c r="AB40" s="2">
        <v>-2</v>
      </c>
      <c r="AC40" s="6">
        <f>AC38+AA40+AB40</f>
        <v>1687.7979999999993</v>
      </c>
      <c r="AD40" s="11" t="s">
        <v>143</v>
      </c>
      <c r="AE40" s="21" t="s">
        <v>144</v>
      </c>
      <c r="AF40" s="21" t="s">
        <v>93</v>
      </c>
      <c r="AG40" s="13">
        <f>ABS((6.14-G40)/Q40)</f>
        <v>0.19230769230769179</v>
      </c>
      <c r="AH40" s="24"/>
      <c r="AI40" s="8">
        <v>1</v>
      </c>
      <c r="AJ40" s="18" t="s">
        <v>124</v>
      </c>
    </row>
    <row r="41" spans="1:37" s="2" customFormat="1" x14ac:dyDescent="0.25">
      <c r="A41" s="2">
        <v>39</v>
      </c>
      <c r="B41" s="10">
        <v>42642</v>
      </c>
      <c r="C41" s="8" t="s">
        <v>138</v>
      </c>
      <c r="D41" s="4">
        <v>-1</v>
      </c>
      <c r="E41" s="7">
        <v>0.60289351851851858</v>
      </c>
      <c r="F41" s="8">
        <v>241.8</v>
      </c>
      <c r="G41" s="8">
        <v>241.8</v>
      </c>
      <c r="H41" s="19">
        <f t="shared" ref="H41" si="35">1-Q41/P41</f>
        <v>0</v>
      </c>
      <c r="I41" s="8">
        <v>244.55</v>
      </c>
      <c r="J41" s="8">
        <v>232</v>
      </c>
      <c r="K41" s="6">
        <f t="shared" ref="K41" si="36">(J41-F41)/(F41-I41)</f>
        <v>3.5636363636363679</v>
      </c>
      <c r="L41" s="6">
        <f t="shared" ref="L41" si="37">(J41-G41)/(G41-I41)</f>
        <v>3.5636363636363679</v>
      </c>
      <c r="M41" s="8">
        <v>1740</v>
      </c>
      <c r="N41" s="2">
        <v>1</v>
      </c>
      <c r="O41" s="2">
        <f t="shared" ref="O41" si="38">ROUNDDOWN(M41*N41%/ABS(I41-F41),0)</f>
        <v>6</v>
      </c>
      <c r="P41" s="2">
        <f t="shared" ref="P41" si="39">ABS(I41-F41)</f>
        <v>2.75</v>
      </c>
      <c r="Q41" s="2">
        <f t="shared" ref="Q41" si="40">ABS(I41-G41)</f>
        <v>2.75</v>
      </c>
      <c r="R41" s="9">
        <v>42648</v>
      </c>
      <c r="S41" s="7">
        <v>0.43244212962962963</v>
      </c>
      <c r="T41" s="8" t="s">
        <v>34</v>
      </c>
      <c r="U41" s="8">
        <v>232</v>
      </c>
      <c r="V41" s="8">
        <v>232</v>
      </c>
      <c r="W41" s="19">
        <f t="shared" ref="W41" si="41">IF(D41&lt;0,(U41-V41)/Q41,(V41-U41)/Q41)</f>
        <v>0</v>
      </c>
      <c r="X41" s="2">
        <f t="shared" ref="X41" si="42">IF(D41&lt;0,G41-V41,V41-G41)</f>
        <v>9.8000000000000114</v>
      </c>
      <c r="Y41" s="6">
        <f t="shared" si="34"/>
        <v>3.5636363636363679</v>
      </c>
      <c r="Z41" s="6">
        <f t="shared" ref="Z41" si="43">Z40+Y41</f>
        <v>-9.0547661997669682</v>
      </c>
      <c r="AA41" s="6">
        <f t="shared" ref="AA41" si="44">X41*O41</f>
        <v>58.800000000000068</v>
      </c>
      <c r="AB41" s="2">
        <v>-2</v>
      </c>
      <c r="AC41" s="6">
        <f t="shared" ref="AC41" si="45">AC40+AA41+AB41</f>
        <v>1744.5979999999995</v>
      </c>
      <c r="AD41" s="11" t="s">
        <v>134</v>
      </c>
      <c r="AE41" s="18" t="s">
        <v>139</v>
      </c>
      <c r="AF41" s="18" t="s">
        <v>147</v>
      </c>
      <c r="AG41" s="13">
        <v>3.56</v>
      </c>
      <c r="AH41" s="24">
        <f t="shared" si="32"/>
        <v>-3.6363636363678786E-3</v>
      </c>
      <c r="AI41" s="8">
        <v>5</v>
      </c>
      <c r="AJ41" s="18" t="s">
        <v>124</v>
      </c>
    </row>
    <row r="42" spans="1:37" s="2" customFormat="1" x14ac:dyDescent="0.25">
      <c r="A42" s="2">
        <v>40</v>
      </c>
      <c r="B42" s="10">
        <v>42642</v>
      </c>
      <c r="C42" s="8" t="s">
        <v>5</v>
      </c>
      <c r="D42" s="4">
        <v>-1</v>
      </c>
      <c r="E42" s="7">
        <v>0.67184027777777777</v>
      </c>
      <c r="F42" s="8">
        <v>83.9</v>
      </c>
      <c r="G42" s="8">
        <v>83.88</v>
      </c>
      <c r="H42" s="19">
        <f t="shared" ref="H42:H43" si="46">1-Q42/P42</f>
        <v>-2.6315789473698059E-2</v>
      </c>
      <c r="I42" s="8">
        <v>84.66</v>
      </c>
      <c r="J42" s="8">
        <v>81</v>
      </c>
      <c r="K42" s="6">
        <f t="shared" ref="K42:K43" si="47">(J42-F42)/(F42-I42)</f>
        <v>3.8157894736842635</v>
      </c>
      <c r="L42" s="6">
        <f t="shared" ref="L42:L43" si="48">(J42-G42)/(G42-I42)</f>
        <v>3.692307692307681</v>
      </c>
      <c r="M42" s="8">
        <v>1740</v>
      </c>
      <c r="N42" s="2">
        <v>1</v>
      </c>
      <c r="O42" s="2">
        <f t="shared" ref="O42:O43" si="49">ROUNDDOWN(M42*N42%/ABS(I42-F42),0)</f>
        <v>22</v>
      </c>
      <c r="P42" s="2">
        <f t="shared" ref="P42:P43" si="50">ABS(I42-F42)</f>
        <v>0.75999999999999091</v>
      </c>
      <c r="Q42" s="2">
        <f t="shared" ref="Q42:Q43" si="51">ABS(I42-G42)</f>
        <v>0.78000000000000114</v>
      </c>
      <c r="R42" s="9">
        <v>42647</v>
      </c>
      <c r="S42" s="7">
        <v>0.37978009259259254</v>
      </c>
      <c r="T42" s="8" t="s">
        <v>33</v>
      </c>
      <c r="U42" s="8">
        <v>84.66</v>
      </c>
      <c r="V42" s="8">
        <v>84.67</v>
      </c>
      <c r="W42" s="19">
        <f t="shared" ref="W42:W43" si="52">IF(D42&lt;0,(U42-V42)/Q42,(V42-U42)/Q42)</f>
        <v>-1.282051282051936E-2</v>
      </c>
      <c r="X42" s="2">
        <f t="shared" ref="X42:X43" si="53">IF(D42&lt;0,G42-V42,V42-G42)</f>
        <v>-0.79000000000000625</v>
      </c>
      <c r="Y42" s="6">
        <f t="shared" ref="Y42:Y43" si="54">X42/P42</f>
        <v>-1.039473684210547</v>
      </c>
      <c r="Z42" s="6">
        <f t="shared" ref="Z42:Z43" si="55">Z41+Y42</f>
        <v>-10.094239883977515</v>
      </c>
      <c r="AA42" s="6">
        <f t="shared" ref="AA42:AA43" si="56">X42*O42</f>
        <v>-17.380000000000138</v>
      </c>
      <c r="AB42" s="2">
        <v>-2</v>
      </c>
      <c r="AC42" s="6">
        <f t="shared" ref="AC42:AC43" si="57">AC41+AA42+AB42</f>
        <v>1725.2179999999994</v>
      </c>
      <c r="AD42" s="11" t="s">
        <v>134</v>
      </c>
      <c r="AE42" s="18" t="s">
        <v>139</v>
      </c>
      <c r="AF42" s="21" t="s">
        <v>149</v>
      </c>
      <c r="AG42" s="13">
        <f>ABS((82.05-G42)/Q42)</f>
        <v>2.3461538461538405</v>
      </c>
      <c r="AH42" s="22">
        <f t="shared" si="32"/>
        <v>3.3856275303643875</v>
      </c>
      <c r="AI42" s="8">
        <v>2</v>
      </c>
      <c r="AJ42" s="21" t="s">
        <v>148</v>
      </c>
    </row>
    <row r="43" spans="1:37" s="2" customFormat="1" x14ac:dyDescent="0.25">
      <c r="A43" s="2">
        <v>41</v>
      </c>
      <c r="B43" s="10">
        <v>42643</v>
      </c>
      <c r="C43" s="8" t="s">
        <v>23</v>
      </c>
      <c r="D43" s="4">
        <v>-1</v>
      </c>
      <c r="E43" s="7">
        <v>0.37533564814814818</v>
      </c>
      <c r="F43" s="8">
        <v>5.48</v>
      </c>
      <c r="G43" s="8">
        <v>5.3620000000000001</v>
      </c>
      <c r="H43" s="23">
        <f t="shared" si="46"/>
        <v>-0.84285714285714719</v>
      </c>
      <c r="I43" s="8">
        <v>5.62</v>
      </c>
      <c r="J43" s="8">
        <v>4.9000000000000004</v>
      </c>
      <c r="K43" s="6">
        <f t="shared" si="47"/>
        <v>4.142857142857153</v>
      </c>
      <c r="L43" s="6">
        <f t="shared" si="48"/>
        <v>1.7906976744186036</v>
      </c>
      <c r="M43" s="8">
        <v>1716</v>
      </c>
      <c r="N43" s="2">
        <v>1</v>
      </c>
      <c r="O43" s="2">
        <f t="shared" si="49"/>
        <v>122</v>
      </c>
      <c r="P43" s="2">
        <f t="shared" si="50"/>
        <v>0.13999999999999968</v>
      </c>
      <c r="Q43" s="2">
        <f t="shared" si="51"/>
        <v>0.25800000000000001</v>
      </c>
      <c r="R43" s="9">
        <v>42649</v>
      </c>
      <c r="S43" s="7">
        <v>0.37649305555555551</v>
      </c>
      <c r="T43" s="8" t="s">
        <v>57</v>
      </c>
      <c r="U43" s="8">
        <v>5.5</v>
      </c>
      <c r="V43" s="8">
        <v>5.58</v>
      </c>
      <c r="W43" s="14">
        <f t="shared" si="52"/>
        <v>-0.31007751937984523</v>
      </c>
      <c r="X43" s="2">
        <f t="shared" si="53"/>
        <v>-0.21799999999999997</v>
      </c>
      <c r="Y43" s="6">
        <f t="shared" si="54"/>
        <v>-1.5571428571428605</v>
      </c>
      <c r="Z43" s="6">
        <f t="shared" si="55"/>
        <v>-11.651382741120376</v>
      </c>
      <c r="AA43" s="6">
        <f t="shared" si="56"/>
        <v>-26.595999999999997</v>
      </c>
      <c r="AB43" s="2">
        <v>-2</v>
      </c>
      <c r="AC43" s="6">
        <f t="shared" si="57"/>
        <v>1696.6219999999994</v>
      </c>
      <c r="AD43" s="11" t="s">
        <v>134</v>
      </c>
      <c r="AE43" s="18" t="s">
        <v>139</v>
      </c>
      <c r="AF43" s="21" t="s">
        <v>151</v>
      </c>
      <c r="AG43" s="13">
        <f>ABS((5.32-G43)/Q43)</f>
        <v>0.16279069767441789</v>
      </c>
      <c r="AH43" s="25"/>
      <c r="AI43" s="8">
        <v>1</v>
      </c>
      <c r="AJ43" s="18" t="s">
        <v>152</v>
      </c>
    </row>
    <row r="44" spans="1:37" s="2" customFormat="1" x14ac:dyDescent="0.25">
      <c r="A44" s="2">
        <v>42</v>
      </c>
      <c r="B44" s="10">
        <v>42643</v>
      </c>
      <c r="C44" s="8" t="s">
        <v>8</v>
      </c>
      <c r="D44" s="4">
        <v>-1</v>
      </c>
      <c r="E44" s="7">
        <v>0.37677083333333333</v>
      </c>
      <c r="F44" s="8">
        <v>37.979999999999997</v>
      </c>
      <c r="G44" s="8">
        <v>37.54</v>
      </c>
      <c r="H44" s="23">
        <f t="shared" ref="H44" si="58">1-Q44/P44</f>
        <v>-1.1578947368420915</v>
      </c>
      <c r="I44" s="8">
        <v>38.36</v>
      </c>
      <c r="J44" s="8">
        <v>36</v>
      </c>
      <c r="K44" s="6">
        <f t="shared" ref="K44" si="59">(J44-F44)/(F44-I44)</f>
        <v>5.2105263157894308</v>
      </c>
      <c r="L44" s="6">
        <f t="shared" ref="L44" si="60">(J44-G44)/(G44-I44)</f>
        <v>1.8780487804878032</v>
      </c>
      <c r="M44" s="8">
        <v>1716</v>
      </c>
      <c r="N44" s="2">
        <v>1</v>
      </c>
      <c r="O44" s="2">
        <f t="shared" ref="O44" si="61">ROUNDDOWN(M44*N44%/ABS(I44-F44),0)</f>
        <v>45</v>
      </c>
      <c r="P44" s="2">
        <f t="shared" ref="P44" si="62">ABS(I44-F44)</f>
        <v>0.38000000000000256</v>
      </c>
      <c r="Q44" s="2">
        <f t="shared" ref="Q44" si="63">ABS(I44-G44)</f>
        <v>0.82000000000000028</v>
      </c>
      <c r="R44" s="9">
        <v>42647</v>
      </c>
      <c r="S44" s="7">
        <v>0.37850694444444444</v>
      </c>
      <c r="T44" s="8" t="s">
        <v>33</v>
      </c>
      <c r="U44" s="8">
        <v>38.36</v>
      </c>
      <c r="V44" s="8">
        <v>38.36</v>
      </c>
      <c r="W44" s="19">
        <f t="shared" ref="W44" si="64">IF(D44&lt;0,(U44-V44)/Q44,(V44-U44)/Q44)</f>
        <v>0</v>
      </c>
      <c r="X44" s="2">
        <f t="shared" ref="X44" si="65">IF(D44&lt;0,G44-V44,V44-G44)</f>
        <v>-0.82000000000000028</v>
      </c>
      <c r="Y44" s="6">
        <f t="shared" ref="Y44" si="66">X44/P44</f>
        <v>-2.1578947368420915</v>
      </c>
      <c r="Z44" s="6">
        <f t="shared" ref="Z44" si="67">Z43+Y44</f>
        <v>-13.809277477962468</v>
      </c>
      <c r="AA44" s="6">
        <f t="shared" ref="AA44" si="68">X44*O44</f>
        <v>-36.900000000000013</v>
      </c>
      <c r="AB44" s="2">
        <v>-2</v>
      </c>
      <c r="AC44" s="6">
        <f t="shared" ref="AC44" si="69">AC43+AA44+AB44</f>
        <v>1657.7219999999993</v>
      </c>
      <c r="AD44" s="8" t="s">
        <v>69</v>
      </c>
      <c r="AE44" s="18" t="s">
        <v>67</v>
      </c>
      <c r="AF44" s="21" t="s">
        <v>150</v>
      </c>
      <c r="AG44" s="13">
        <f>ABS((37.38-G44)/Q44)</f>
        <v>0.19512195121950796</v>
      </c>
      <c r="AH44" s="22"/>
      <c r="AI44" s="8">
        <v>1</v>
      </c>
      <c r="AJ44" s="18" t="s">
        <v>152</v>
      </c>
    </row>
    <row r="45" spans="1:37" s="2" customFormat="1" x14ac:dyDescent="0.25">
      <c r="A45" s="2">
        <v>43</v>
      </c>
      <c r="B45" s="10">
        <v>42646</v>
      </c>
      <c r="C45" s="8" t="s">
        <v>20</v>
      </c>
      <c r="D45" s="5">
        <v>1</v>
      </c>
      <c r="E45" s="7">
        <v>0.37612268518518516</v>
      </c>
      <c r="F45" s="8">
        <v>115.4</v>
      </c>
      <c r="G45" s="8">
        <v>115.45</v>
      </c>
      <c r="H45" s="19">
        <f t="shared" ref="H45:H47" si="70">1-Q45/P45</f>
        <v>-3.3333333333331439E-2</v>
      </c>
      <c r="I45" s="8">
        <v>113.9</v>
      </c>
      <c r="J45" s="8">
        <v>119</v>
      </c>
      <c r="K45" s="6">
        <f t="shared" ref="K45" si="71">(J45-F45)/(F45-I45)</f>
        <v>2.3999999999999964</v>
      </c>
      <c r="L45" s="6">
        <f t="shared" ref="L45" si="72">(J45-G45)/(G45-I45)</f>
        <v>2.2903225806451637</v>
      </c>
      <c r="M45" s="8">
        <v>1716</v>
      </c>
      <c r="N45" s="2">
        <v>1</v>
      </c>
      <c r="O45" s="2">
        <f t="shared" ref="O45" si="73">ROUNDDOWN(M45*N45%/ABS(I45-F45),0)</f>
        <v>11</v>
      </c>
      <c r="P45" s="2">
        <f t="shared" ref="P45" si="74">ABS(I45-F45)</f>
        <v>1.5</v>
      </c>
      <c r="Q45" s="2">
        <f t="shared" ref="Q45" si="75">ABS(I45-G45)</f>
        <v>1.5499999999999972</v>
      </c>
      <c r="R45" s="9">
        <v>42648</v>
      </c>
      <c r="S45" s="7">
        <v>0.37535879629629632</v>
      </c>
      <c r="T45" s="8" t="s">
        <v>33</v>
      </c>
      <c r="U45" s="8">
        <v>113.9</v>
      </c>
      <c r="V45" s="8">
        <v>113.7</v>
      </c>
      <c r="W45" s="14">
        <f t="shared" ref="W45" si="76">IF(D45&lt;0,(U45-V45)/Q45,(V45-U45)/Q45)</f>
        <v>-0.12903225806451821</v>
      </c>
      <c r="X45" s="2">
        <f t="shared" ref="X45" si="77">IF(D45&lt;0,G45-V45,V45-G45)</f>
        <v>-1.75</v>
      </c>
      <c r="Y45" s="6">
        <f t="shared" ref="Y45" si="78">X45/P45</f>
        <v>-1.1666666666666667</v>
      </c>
      <c r="Z45" s="6">
        <f t="shared" ref="Z45" si="79">Z44+Y45</f>
        <v>-14.975944144629134</v>
      </c>
      <c r="AA45" s="6">
        <f t="shared" ref="AA45" si="80">X45*O45</f>
        <v>-19.25</v>
      </c>
      <c r="AB45" s="2">
        <v>-2</v>
      </c>
      <c r="AC45" s="6">
        <f t="shared" ref="AC45" si="81">AC44+AA45+AB45</f>
        <v>1636.4719999999993</v>
      </c>
      <c r="AD45" s="11" t="s">
        <v>134</v>
      </c>
      <c r="AE45" s="18" t="s">
        <v>153</v>
      </c>
      <c r="AF45" s="21" t="s">
        <v>150</v>
      </c>
      <c r="AG45" s="13">
        <f>ABS((117.05-G45)/Q45)</f>
        <v>1.0322580645161272</v>
      </c>
      <c r="AH45" s="22">
        <f t="shared" si="32"/>
        <v>2.1989247311827942</v>
      </c>
      <c r="AI45" s="8">
        <v>1</v>
      </c>
      <c r="AJ45" s="18" t="s">
        <v>154</v>
      </c>
    </row>
    <row r="46" spans="1:37" s="2" customFormat="1" x14ac:dyDescent="0.25">
      <c r="A46" s="2">
        <v>44</v>
      </c>
      <c r="B46" s="10">
        <v>42647</v>
      </c>
      <c r="C46" s="8" t="s">
        <v>159</v>
      </c>
      <c r="D46" s="5">
        <v>1</v>
      </c>
      <c r="E46" s="7">
        <v>0.37707175925925923</v>
      </c>
      <c r="F46" s="8">
        <v>14.96</v>
      </c>
      <c r="G46" s="8">
        <v>14.965</v>
      </c>
      <c r="H46" s="19">
        <f t="shared" ref="H46" si="82">1-Q46/P46</f>
        <v>-3.1249999999993783E-2</v>
      </c>
      <c r="I46" s="8">
        <v>14.8</v>
      </c>
      <c r="J46" s="8">
        <v>15.4</v>
      </c>
      <c r="K46" s="6">
        <f t="shared" ref="K46:K47" si="83">(J46-F46)/(F46-I46)</f>
        <v>2.7499999999999947</v>
      </c>
      <c r="L46" s="6">
        <f t="shared" ref="L46:L47" si="84">(J46-G46)/(G46-I46)</f>
        <v>2.6363636363636531</v>
      </c>
      <c r="M46" s="8">
        <v>1716</v>
      </c>
      <c r="N46" s="2">
        <v>1</v>
      </c>
      <c r="O46" s="2">
        <f t="shared" ref="O46:O47" si="85">ROUNDDOWN(M46*N46%/ABS(I46-F46),0)</f>
        <v>107</v>
      </c>
      <c r="P46" s="2">
        <f t="shared" ref="P46:P47" si="86">ABS(I46-F46)</f>
        <v>0.16000000000000014</v>
      </c>
      <c r="Q46" s="2">
        <f t="shared" ref="Q46:Q47" si="87">ABS(I46-G46)</f>
        <v>0.16499999999999915</v>
      </c>
      <c r="R46" s="9">
        <v>42648</v>
      </c>
      <c r="S46" s="7">
        <v>0.38611111111111113</v>
      </c>
      <c r="T46" s="8" t="s">
        <v>33</v>
      </c>
      <c r="U46" s="8">
        <v>14.8</v>
      </c>
      <c r="V46" s="8">
        <v>14.8</v>
      </c>
      <c r="W46" s="19">
        <f t="shared" ref="W46:W47" si="88">IF(D46&lt;0,(U46-V46)/Q46,(V46-U46)/Q46)</f>
        <v>0</v>
      </c>
      <c r="X46" s="2">
        <f t="shared" ref="X46:X47" si="89">IF(D46&lt;0,G46-V46,V46-G46)</f>
        <v>-0.16499999999999915</v>
      </c>
      <c r="Y46" s="6">
        <f t="shared" ref="Y46:Y47" si="90">X46/P46</f>
        <v>-1.0312499999999938</v>
      </c>
      <c r="Z46" s="6">
        <f t="shared" ref="Z46:Z47" si="91">Z45+Y46</f>
        <v>-16.007194144629128</v>
      </c>
      <c r="AA46" s="6">
        <f t="shared" ref="AA46:AA47" si="92">X46*O46</f>
        <v>-17.654999999999909</v>
      </c>
      <c r="AB46" s="2">
        <v>-2</v>
      </c>
      <c r="AC46" s="6">
        <f t="shared" ref="AC46:AC47" si="93">AC45+AA46+AB46</f>
        <v>1616.8169999999993</v>
      </c>
      <c r="AD46" s="11" t="s">
        <v>160</v>
      </c>
      <c r="AE46" s="18" t="s">
        <v>161</v>
      </c>
      <c r="AF46" s="18" t="s">
        <v>52</v>
      </c>
      <c r="AG46" s="13">
        <f>ABS((15.1-G46)/Q46)</f>
        <v>0.81818181818182112</v>
      </c>
      <c r="AH46" s="25">
        <f t="shared" si="32"/>
        <v>1.8494318181818148</v>
      </c>
      <c r="AI46" s="8">
        <v>1</v>
      </c>
      <c r="AJ46" s="18" t="s">
        <v>154</v>
      </c>
    </row>
    <row r="47" spans="1:37" s="2" customFormat="1" x14ac:dyDescent="0.25">
      <c r="A47" s="2">
        <v>45</v>
      </c>
      <c r="B47" s="10">
        <v>42649</v>
      </c>
      <c r="C47" s="8" t="s">
        <v>8</v>
      </c>
      <c r="D47" s="4">
        <v>-1</v>
      </c>
      <c r="E47" s="7">
        <v>0.47920138888888886</v>
      </c>
      <c r="F47" s="8">
        <v>38</v>
      </c>
      <c r="G47" s="8">
        <v>38</v>
      </c>
      <c r="H47" s="19">
        <f t="shared" si="70"/>
        <v>0</v>
      </c>
      <c r="I47" s="8">
        <v>38.46</v>
      </c>
      <c r="J47" s="8">
        <v>36.700000000000003</v>
      </c>
      <c r="K47" s="6">
        <f t="shared" si="83"/>
        <v>2.8260869565217277</v>
      </c>
      <c r="L47" s="6">
        <f t="shared" si="84"/>
        <v>2.8260869565217277</v>
      </c>
      <c r="M47" s="8">
        <v>1655</v>
      </c>
      <c r="N47" s="2">
        <v>1</v>
      </c>
      <c r="O47" s="2">
        <f t="shared" si="85"/>
        <v>35</v>
      </c>
      <c r="P47" s="2">
        <f t="shared" si="86"/>
        <v>0.46000000000000085</v>
      </c>
      <c r="Q47" s="2">
        <f t="shared" si="87"/>
        <v>0.46000000000000085</v>
      </c>
      <c r="R47" s="9">
        <v>42653</v>
      </c>
      <c r="S47" s="7">
        <v>0.56701388888888882</v>
      </c>
      <c r="T47" s="8" t="s">
        <v>57</v>
      </c>
      <c r="U47" s="8">
        <v>38</v>
      </c>
      <c r="V47" s="8">
        <v>38</v>
      </c>
      <c r="W47" s="19">
        <f t="shared" si="88"/>
        <v>0</v>
      </c>
      <c r="X47" s="2">
        <f t="shared" si="89"/>
        <v>0</v>
      </c>
      <c r="Y47" s="6">
        <f t="shared" si="90"/>
        <v>0</v>
      </c>
      <c r="Z47" s="6">
        <f t="shared" si="91"/>
        <v>-16.007194144629128</v>
      </c>
      <c r="AA47" s="6">
        <f t="shared" si="92"/>
        <v>0</v>
      </c>
      <c r="AB47" s="2">
        <v>-2</v>
      </c>
      <c r="AC47" s="6">
        <f t="shared" si="93"/>
        <v>1614.8169999999993</v>
      </c>
      <c r="AD47" s="8" t="s">
        <v>69</v>
      </c>
      <c r="AE47" s="18" t="s">
        <v>67</v>
      </c>
      <c r="AF47" s="18" t="s">
        <v>162</v>
      </c>
      <c r="AG47" s="13">
        <f>ABS((37-G47)/Q47)</f>
        <v>2.1739130434782568</v>
      </c>
      <c r="AH47" s="22">
        <f t="shared" ref="AH47" si="94">AG47-Y47</f>
        <v>2.1739130434782568</v>
      </c>
      <c r="AI47" s="8">
        <v>2</v>
      </c>
      <c r="AJ47" s="18" t="s">
        <v>124</v>
      </c>
    </row>
    <row r="48" spans="1:37" s="2" customFormat="1" x14ac:dyDescent="0.25">
      <c r="A48" s="2">
        <v>46</v>
      </c>
      <c r="B48" s="10">
        <v>42650</v>
      </c>
      <c r="C48" s="8" t="s">
        <v>2</v>
      </c>
      <c r="D48" s="4">
        <v>-1</v>
      </c>
      <c r="E48" s="7">
        <v>0.37533564814814818</v>
      </c>
      <c r="F48" s="8">
        <v>54.41</v>
      </c>
      <c r="G48" s="8">
        <v>54.32</v>
      </c>
      <c r="H48" s="19">
        <f t="shared" ref="H48" si="95">1-Q48/P48</f>
        <v>-9.0909090909087054E-2</v>
      </c>
      <c r="I48" s="8">
        <v>55.4</v>
      </c>
      <c r="J48" s="8">
        <v>51.6</v>
      </c>
      <c r="K48" s="6">
        <f t="shared" ref="K48" si="96">(J48-F48)/(F48-I48)</f>
        <v>2.838383838383828</v>
      </c>
      <c r="L48" s="6">
        <f t="shared" ref="L48" si="97">(J48-G48)/(G48-I48)</f>
        <v>2.5185185185185213</v>
      </c>
      <c r="M48" s="8">
        <v>1627</v>
      </c>
      <c r="N48" s="2">
        <v>1</v>
      </c>
      <c r="O48" s="2">
        <f t="shared" ref="O48" si="98">ROUNDDOWN(M48*N48%/ABS(I48-F48),0)</f>
        <v>16</v>
      </c>
      <c r="P48" s="2">
        <f t="shared" ref="P48" si="99">ABS(I48-F48)</f>
        <v>0.99000000000000199</v>
      </c>
      <c r="Q48" s="2">
        <f t="shared" ref="Q48" si="100">ABS(I48-G48)</f>
        <v>1.0799999999999983</v>
      </c>
      <c r="R48" s="9">
        <v>42653</v>
      </c>
      <c r="S48" s="7">
        <v>0.65774305555555557</v>
      </c>
      <c r="T48" s="8" t="s">
        <v>33</v>
      </c>
      <c r="U48" s="8">
        <v>54.32</v>
      </c>
      <c r="V48" s="8">
        <v>54.32</v>
      </c>
      <c r="W48" s="19">
        <f t="shared" ref="W48" si="101">IF(D48&lt;0,(U48-V48)/Q48,(V48-U48)/Q48)</f>
        <v>0</v>
      </c>
      <c r="X48" s="2">
        <f t="shared" ref="X48" si="102">IF(D48&lt;0,G48-V48,V48-G48)</f>
        <v>0</v>
      </c>
      <c r="Y48" s="6">
        <f t="shared" ref="Y48" si="103">X48/P48</f>
        <v>0</v>
      </c>
      <c r="Z48" s="6">
        <f t="shared" ref="Z48" si="104">Z47+Y48</f>
        <v>-16.007194144629128</v>
      </c>
      <c r="AA48" s="6">
        <f t="shared" ref="AA48" si="105">X48*O48</f>
        <v>0</v>
      </c>
      <c r="AB48" s="2">
        <v>-2</v>
      </c>
      <c r="AC48" s="6">
        <f t="shared" ref="AC48" si="106">AC47+AA48+AB48</f>
        <v>1612.8169999999993</v>
      </c>
      <c r="AD48" s="8" t="s">
        <v>165</v>
      </c>
      <c r="AE48" s="18" t="s">
        <v>67</v>
      </c>
      <c r="AF48" s="26" t="s">
        <v>163</v>
      </c>
      <c r="AG48" s="13">
        <f>ABS((53.3-G48)/Q48)</f>
        <v>0.94444444444444886</v>
      </c>
      <c r="AH48" s="24">
        <f t="shared" ref="AH48" si="107">AG48-Y48</f>
        <v>0.94444444444444886</v>
      </c>
      <c r="AI48" s="8">
        <v>1</v>
      </c>
      <c r="AJ48" s="18" t="s">
        <v>154</v>
      </c>
      <c r="AK48" s="2" t="s">
        <v>164</v>
      </c>
    </row>
    <row r="49" spans="1:36" s="2" customFormat="1" x14ac:dyDescent="0.25">
      <c r="A49" s="2">
        <v>47</v>
      </c>
      <c r="B49" s="10">
        <v>42650</v>
      </c>
      <c r="C49" s="8" t="s">
        <v>17</v>
      </c>
      <c r="D49" s="4">
        <v>-1</v>
      </c>
      <c r="E49" s="7">
        <v>0.37534722222222222</v>
      </c>
      <c r="F49" s="8">
        <v>119.8</v>
      </c>
      <c r="G49" s="8">
        <v>119.6</v>
      </c>
      <c r="H49" s="14">
        <f t="shared" ref="H49:H51" si="108">1-Q49/P49</f>
        <v>-0.12500000000000111</v>
      </c>
      <c r="I49" s="8">
        <v>121.4</v>
      </c>
      <c r="J49" s="8">
        <v>112</v>
      </c>
      <c r="K49" s="6">
        <f t="shared" ref="K49:K51" si="109">(J49-F49)/(F49-I49)</f>
        <v>4.8749999999999725</v>
      </c>
      <c r="L49" s="6">
        <f t="shared" ref="L49:L51" si="110">(J49-G49)/(G49-I49)</f>
        <v>4.2222222222221921</v>
      </c>
      <c r="M49" s="8">
        <v>1627</v>
      </c>
      <c r="N49" s="2">
        <v>1</v>
      </c>
      <c r="O49" s="2">
        <f t="shared" ref="O49:O51" si="111">ROUNDDOWN(M49*N49%/ABS(I49-F49),0)</f>
        <v>10</v>
      </c>
      <c r="P49" s="2">
        <f t="shared" ref="P49:P51" si="112">ABS(I49-F49)</f>
        <v>1.6000000000000085</v>
      </c>
      <c r="Q49" s="2">
        <f t="shared" ref="Q49:Q51" si="113">ABS(I49-G49)</f>
        <v>1.8000000000000114</v>
      </c>
      <c r="R49" s="9">
        <v>42653</v>
      </c>
      <c r="S49" s="7">
        <v>0.38269675925925922</v>
      </c>
      <c r="T49" s="8" t="s">
        <v>57</v>
      </c>
      <c r="U49" s="8">
        <v>119.6</v>
      </c>
      <c r="V49" s="8">
        <v>119.6</v>
      </c>
      <c r="W49" s="19">
        <f t="shared" ref="W49:W51" si="114">IF(D49&lt;0,(U49-V49)/Q49,(V49-U49)/Q49)</f>
        <v>0</v>
      </c>
      <c r="X49" s="2">
        <f t="shared" ref="X49:X51" si="115">IF(D49&lt;0,G49-V49,V49-G49)</f>
        <v>0</v>
      </c>
      <c r="Y49" s="6">
        <f t="shared" ref="Y49:Y51" si="116">X49/P49</f>
        <v>0</v>
      </c>
      <c r="Z49" s="6">
        <f t="shared" ref="Z49:Z51" si="117">Z48+Y49</f>
        <v>-16.007194144629128</v>
      </c>
      <c r="AA49" s="6">
        <f t="shared" ref="AA49:AA51" si="118">X49*O49</f>
        <v>0</v>
      </c>
      <c r="AB49" s="2">
        <v>-2</v>
      </c>
      <c r="AC49" s="6">
        <f t="shared" ref="AC49:AC51" si="119">AC48+AA49+AB49</f>
        <v>1610.8169999999993</v>
      </c>
      <c r="AD49" s="8" t="s">
        <v>166</v>
      </c>
      <c r="AE49" s="18" t="s">
        <v>167</v>
      </c>
      <c r="AF49" s="27" t="s">
        <v>168</v>
      </c>
      <c r="AG49" s="13">
        <f>ABS((117.7-G49)/Q49)</f>
        <v>1.0555555555555443</v>
      </c>
      <c r="AH49" s="24">
        <f t="shared" ref="AH49:AH51" si="120">AG49-Y49</f>
        <v>1.0555555555555443</v>
      </c>
      <c r="AI49" s="8">
        <v>1</v>
      </c>
      <c r="AJ49" s="18" t="s">
        <v>154</v>
      </c>
    </row>
    <row r="50" spans="1:36" s="2" customFormat="1" x14ac:dyDescent="0.25">
      <c r="A50" s="2">
        <v>48</v>
      </c>
      <c r="B50" s="10">
        <v>42654</v>
      </c>
      <c r="C50" s="8" t="s">
        <v>169</v>
      </c>
      <c r="D50" s="5">
        <v>1</v>
      </c>
      <c r="E50" s="7">
        <v>0.38429398148148147</v>
      </c>
      <c r="F50" s="8">
        <v>102.7</v>
      </c>
      <c r="G50" s="8">
        <v>102.65</v>
      </c>
      <c r="H50" s="19">
        <f t="shared" si="108"/>
        <v>4.5454545454542528E-2</v>
      </c>
      <c r="I50" s="8">
        <v>101.6</v>
      </c>
      <c r="J50" s="8">
        <v>106</v>
      </c>
      <c r="K50" s="6">
        <f t="shared" si="109"/>
        <v>2.9999999999999742</v>
      </c>
      <c r="L50" s="6">
        <f t="shared" si="110"/>
        <v>3.1904761904761507</v>
      </c>
      <c r="M50" s="8">
        <v>1622</v>
      </c>
      <c r="N50" s="2">
        <v>1</v>
      </c>
      <c r="O50" s="2">
        <f t="shared" si="111"/>
        <v>14</v>
      </c>
      <c r="P50" s="2">
        <f t="shared" si="112"/>
        <v>1.1000000000000085</v>
      </c>
      <c r="Q50" s="2">
        <f t="shared" si="113"/>
        <v>1.0500000000000114</v>
      </c>
      <c r="R50" s="9">
        <v>42654</v>
      </c>
      <c r="S50" s="7">
        <v>0.71497685185185178</v>
      </c>
      <c r="T50" s="8" t="s">
        <v>33</v>
      </c>
      <c r="U50" s="8">
        <v>101.6</v>
      </c>
      <c r="V50" s="8">
        <v>101.6</v>
      </c>
      <c r="W50" s="19">
        <f t="shared" si="114"/>
        <v>0</v>
      </c>
      <c r="X50" s="2">
        <f t="shared" si="115"/>
        <v>-1.0500000000000114</v>
      </c>
      <c r="Y50" s="6">
        <f t="shared" si="116"/>
        <v>-0.95454545454545747</v>
      </c>
      <c r="Z50" s="6">
        <f t="shared" si="117"/>
        <v>-16.961739599174585</v>
      </c>
      <c r="AA50" s="6">
        <f t="shared" si="118"/>
        <v>-14.700000000000159</v>
      </c>
      <c r="AB50" s="2">
        <v>-2</v>
      </c>
      <c r="AC50" s="6">
        <f t="shared" si="119"/>
        <v>1594.1169999999993</v>
      </c>
      <c r="AD50" s="8" t="s">
        <v>73</v>
      </c>
      <c r="AE50" s="18" t="s">
        <v>67</v>
      </c>
      <c r="AF50" s="18" t="s">
        <v>52</v>
      </c>
      <c r="AG50" s="13">
        <v>0</v>
      </c>
      <c r="AH50" s="24"/>
      <c r="AI50" s="8">
        <v>1</v>
      </c>
      <c r="AJ50" s="18" t="s">
        <v>170</v>
      </c>
    </row>
    <row r="51" spans="1:36" s="2" customFormat="1" x14ac:dyDescent="0.25">
      <c r="A51" s="2">
        <v>49</v>
      </c>
      <c r="B51" s="10">
        <v>42654</v>
      </c>
      <c r="C51" s="8" t="s">
        <v>5</v>
      </c>
      <c r="D51" s="5">
        <v>1</v>
      </c>
      <c r="E51" s="7">
        <v>0.39521990740740742</v>
      </c>
      <c r="F51" s="8">
        <v>81.66</v>
      </c>
      <c r="G51" s="8">
        <v>81.680000000000007</v>
      </c>
      <c r="H51" s="19">
        <f t="shared" si="108"/>
        <v>-2.9411764705897792E-2</v>
      </c>
      <c r="I51" s="8">
        <v>80.98</v>
      </c>
      <c r="J51" s="8">
        <v>84.5</v>
      </c>
      <c r="K51" s="6">
        <f t="shared" si="109"/>
        <v>4.1764705882353441</v>
      </c>
      <c r="L51" s="6">
        <f t="shared" si="110"/>
        <v>4.0285714285714027</v>
      </c>
      <c r="M51" s="8">
        <v>1622</v>
      </c>
      <c r="N51" s="2">
        <v>1</v>
      </c>
      <c r="O51" s="2">
        <f t="shared" si="111"/>
        <v>23</v>
      </c>
      <c r="P51" s="2">
        <f t="shared" si="112"/>
        <v>0.67999999999999261</v>
      </c>
      <c r="Q51" s="2">
        <f t="shared" si="113"/>
        <v>0.70000000000000284</v>
      </c>
      <c r="R51" s="9">
        <v>42656</v>
      </c>
      <c r="S51" s="7">
        <v>0.37835648148148149</v>
      </c>
      <c r="T51" s="8" t="s">
        <v>33</v>
      </c>
      <c r="U51" s="8">
        <v>80.98</v>
      </c>
      <c r="V51" s="8">
        <v>80.959999999999994</v>
      </c>
      <c r="W51" s="19">
        <f t="shared" si="114"/>
        <v>-2.8571428571443073E-2</v>
      </c>
      <c r="X51" s="2">
        <f t="shared" si="115"/>
        <v>-0.72000000000001307</v>
      </c>
      <c r="Y51" s="6">
        <f t="shared" si="116"/>
        <v>-1.0588235294117954</v>
      </c>
      <c r="Z51" s="6">
        <f t="shared" si="117"/>
        <v>-18.020563128586382</v>
      </c>
      <c r="AA51" s="6">
        <f t="shared" si="118"/>
        <v>-16.560000000000301</v>
      </c>
      <c r="AB51" s="2">
        <v>-2</v>
      </c>
      <c r="AC51" s="6">
        <f t="shared" si="119"/>
        <v>1575.5569999999989</v>
      </c>
      <c r="AD51" s="11" t="s">
        <v>75</v>
      </c>
      <c r="AE51" s="18" t="s">
        <v>52</v>
      </c>
      <c r="AF51" s="21" t="s">
        <v>171</v>
      </c>
      <c r="AG51" s="13">
        <f>ABS((83.12-G51)/Q51)</f>
        <v>2.0571428571428454</v>
      </c>
      <c r="AH51" s="22">
        <f t="shared" si="120"/>
        <v>3.115966386554641</v>
      </c>
      <c r="AI51" s="8">
        <v>1</v>
      </c>
      <c r="AJ51" s="18" t="s">
        <v>172</v>
      </c>
    </row>
    <row r="52" spans="1:36" s="2" customFormat="1" x14ac:dyDescent="0.25">
      <c r="A52" s="2">
        <v>50</v>
      </c>
      <c r="B52" s="10">
        <v>42655</v>
      </c>
      <c r="C52" s="8" t="s">
        <v>173</v>
      </c>
      <c r="D52" s="4">
        <v>-1</v>
      </c>
      <c r="E52" s="7">
        <v>0.37539351851851849</v>
      </c>
      <c r="F52" s="8">
        <v>12.26</v>
      </c>
      <c r="G52" s="8">
        <v>12.275</v>
      </c>
      <c r="H52" s="19">
        <f t="shared" ref="H52" si="121">1-Q52/P52</f>
        <v>4.8387096774195282E-2</v>
      </c>
      <c r="I52" s="8">
        <v>12.57</v>
      </c>
      <c r="J52" s="8">
        <v>10.1</v>
      </c>
      <c r="K52" s="6">
        <f t="shared" ref="K52" si="122">(J52-F52)/(F52-I52)</f>
        <v>6.9677419354838603</v>
      </c>
      <c r="L52" s="6">
        <f t="shared" ref="L52" si="123">(J52-G52)/(G52-I52)</f>
        <v>7.3728813559322077</v>
      </c>
      <c r="M52" s="8">
        <v>1604</v>
      </c>
      <c r="N52" s="2">
        <v>1</v>
      </c>
      <c r="O52" s="2">
        <f t="shared" ref="O52" si="124">ROUNDDOWN(M52*N52%/ABS(I52-F52),0)</f>
        <v>51</v>
      </c>
      <c r="P52" s="2">
        <f t="shared" ref="P52" si="125">ABS(I52-F52)</f>
        <v>0.3100000000000005</v>
      </c>
      <c r="Q52" s="2">
        <f t="shared" ref="Q52" si="126">ABS(I52-G52)</f>
        <v>0.29499999999999993</v>
      </c>
      <c r="R52" s="9">
        <v>42662</v>
      </c>
      <c r="S52" s="7">
        <v>0.3758333333333333</v>
      </c>
      <c r="T52" s="8" t="s">
        <v>33</v>
      </c>
      <c r="U52" s="8">
        <v>12.57</v>
      </c>
      <c r="V52" s="8">
        <v>12.59</v>
      </c>
      <c r="W52" s="19">
        <f t="shared" ref="W52" si="127">IF(D52&lt;0,(U52-V52)/Q52,(V52-U52)/Q52)</f>
        <v>-6.7796610169490096E-2</v>
      </c>
      <c r="X52" s="2">
        <f t="shared" ref="X52" si="128">IF(D52&lt;0,G52-V52,V52-G52)</f>
        <v>-0.3149999999999995</v>
      </c>
      <c r="Y52" s="6">
        <f t="shared" ref="Y52" si="129">X52/P52</f>
        <v>-1.0161290322580612</v>
      </c>
      <c r="Z52" s="6">
        <f t="shared" ref="Z52" si="130">Z51+Y52</f>
        <v>-19.036692160844442</v>
      </c>
      <c r="AA52" s="6">
        <f t="shared" ref="AA52" si="131">X52*O52</f>
        <v>-16.064999999999976</v>
      </c>
      <c r="AB52" s="2">
        <v>-2</v>
      </c>
      <c r="AC52" s="6">
        <f t="shared" ref="AC52" si="132">AC51+AA52+AB52</f>
        <v>1557.4919999999988</v>
      </c>
      <c r="AD52" s="8" t="s">
        <v>69</v>
      </c>
      <c r="AE52" s="18" t="s">
        <v>174</v>
      </c>
      <c r="AF52" s="18" t="s">
        <v>52</v>
      </c>
      <c r="AG52" s="13">
        <f>ABS((11.84-G52)/Q52)</f>
        <v>1.4745762711864427</v>
      </c>
      <c r="AH52" s="22">
        <f t="shared" ref="AH52" si="133">AG52-Y52</f>
        <v>2.4907053034445039</v>
      </c>
      <c r="AI52" s="8">
        <v>2</v>
      </c>
      <c r="AJ52" s="18" t="s">
        <v>175</v>
      </c>
    </row>
    <row r="53" spans="1:36" s="2" customFormat="1" x14ac:dyDescent="0.25">
      <c r="A53" s="2">
        <v>51</v>
      </c>
      <c r="B53" s="10">
        <v>42655</v>
      </c>
      <c r="C53" s="8" t="s">
        <v>176</v>
      </c>
      <c r="D53" s="4">
        <v>-1</v>
      </c>
      <c r="E53" s="7">
        <v>0.37547453703703698</v>
      </c>
      <c r="F53" s="8">
        <v>76.11</v>
      </c>
      <c r="G53" s="8">
        <v>76.14</v>
      </c>
      <c r="H53" s="19">
        <f t="shared" ref="H53:H55" si="134">1-Q53/P53</f>
        <v>3.3707865168540629E-2</v>
      </c>
      <c r="I53" s="8">
        <v>77</v>
      </c>
      <c r="J53" s="8">
        <v>70</v>
      </c>
      <c r="K53" s="6">
        <f t="shared" ref="K53:K55" si="135">(J53-F53)/(F53-I53)</f>
        <v>6.8651685393258379</v>
      </c>
      <c r="L53" s="6">
        <f t="shared" ref="L53:L55" si="136">(J53-G53)/(G53-I53)</f>
        <v>7.1395348837209358</v>
      </c>
      <c r="M53" s="8">
        <v>1604</v>
      </c>
      <c r="N53" s="2">
        <v>1</v>
      </c>
      <c r="O53" s="2">
        <f t="shared" ref="O53:O55" si="137">ROUNDDOWN(M53*N53%/ABS(I53-F53),0)</f>
        <v>18</v>
      </c>
      <c r="P53" s="2">
        <f t="shared" ref="P53:P55" si="138">ABS(I53-F53)</f>
        <v>0.89000000000000057</v>
      </c>
      <c r="Q53" s="2">
        <f t="shared" ref="Q53:Q55" si="139">ABS(I53-G53)</f>
        <v>0.85999999999999943</v>
      </c>
      <c r="R53" s="9">
        <v>42655</v>
      </c>
      <c r="S53" s="7">
        <v>0.39127314814814818</v>
      </c>
      <c r="T53" s="8" t="s">
        <v>33</v>
      </c>
      <c r="U53" s="8">
        <v>77</v>
      </c>
      <c r="V53" s="8">
        <v>77</v>
      </c>
      <c r="W53" s="19">
        <f t="shared" ref="W53:W55" si="140">IF(D53&lt;0,(U53-V53)/Q53,(V53-U53)/Q53)</f>
        <v>0</v>
      </c>
      <c r="X53" s="2">
        <f t="shared" ref="X53:X55" si="141">IF(D53&lt;0,G53-V53,V53-G53)</f>
        <v>-0.85999999999999943</v>
      </c>
      <c r="Y53" s="6">
        <f t="shared" ref="Y53:Y55" si="142">X53/P53</f>
        <v>-0.96629213483145937</v>
      </c>
      <c r="Z53" s="6">
        <f t="shared" ref="Z53:Z55" si="143">Z52+Y53</f>
        <v>-20.002984295675901</v>
      </c>
      <c r="AA53" s="6">
        <f t="shared" ref="AA53:AA55" si="144">X53*O53</f>
        <v>-15.47999999999999</v>
      </c>
      <c r="AB53" s="2">
        <v>-2</v>
      </c>
      <c r="AC53" s="6">
        <f t="shared" ref="AC53:AC55" si="145">AC52+AA53+AB53</f>
        <v>1540.0119999999988</v>
      </c>
      <c r="AD53" s="8" t="s">
        <v>165</v>
      </c>
      <c r="AE53" s="18" t="s">
        <v>67</v>
      </c>
      <c r="AF53" s="18" t="s">
        <v>177</v>
      </c>
      <c r="AG53" s="13">
        <v>0</v>
      </c>
      <c r="AH53" s="24"/>
      <c r="AI53" s="8"/>
      <c r="AJ53" s="21" t="s">
        <v>178</v>
      </c>
    </row>
    <row r="54" spans="1:36" s="2" customFormat="1" x14ac:dyDescent="0.25">
      <c r="A54" s="2">
        <v>52</v>
      </c>
      <c r="B54" s="10">
        <v>42657</v>
      </c>
      <c r="C54" s="8" t="s">
        <v>179</v>
      </c>
      <c r="D54" s="5">
        <v>1</v>
      </c>
      <c r="E54" s="7">
        <v>0.37537037037037035</v>
      </c>
      <c r="F54" s="8">
        <v>77.900000000000006</v>
      </c>
      <c r="G54" s="8">
        <v>78.12</v>
      </c>
      <c r="H54" s="14">
        <f t="shared" si="134"/>
        <v>-0.31428571428571139</v>
      </c>
      <c r="I54" s="8">
        <v>77.2</v>
      </c>
      <c r="J54" s="8">
        <v>79.900000000000006</v>
      </c>
      <c r="K54" s="6">
        <f t="shared" si="135"/>
        <v>2.8571428571428457</v>
      </c>
      <c r="L54" s="6">
        <f t="shared" si="136"/>
        <v>1.9347826086956499</v>
      </c>
      <c r="M54" s="8">
        <v>1568</v>
      </c>
      <c r="N54" s="2">
        <v>1</v>
      </c>
      <c r="O54" s="2">
        <f t="shared" si="137"/>
        <v>22</v>
      </c>
      <c r="P54" s="2">
        <f t="shared" si="138"/>
        <v>0.70000000000000284</v>
      </c>
      <c r="Q54" s="2">
        <f t="shared" si="139"/>
        <v>0.92000000000000171</v>
      </c>
      <c r="R54" s="9">
        <v>42663</v>
      </c>
      <c r="S54" s="7">
        <v>0.6700462962962962</v>
      </c>
      <c r="T54" s="8" t="s">
        <v>34</v>
      </c>
      <c r="U54" s="8">
        <v>79.900000000000006</v>
      </c>
      <c r="V54" s="8">
        <v>79.900000000000006</v>
      </c>
      <c r="W54" s="19">
        <f t="shared" si="140"/>
        <v>0</v>
      </c>
      <c r="X54" s="2">
        <f t="shared" si="141"/>
        <v>1.7800000000000011</v>
      </c>
      <c r="Y54" s="6">
        <f t="shared" si="142"/>
        <v>2.5428571428571343</v>
      </c>
      <c r="Z54" s="6">
        <f t="shared" si="143"/>
        <v>-17.460127152818767</v>
      </c>
      <c r="AA54" s="6">
        <f t="shared" si="144"/>
        <v>39.160000000000025</v>
      </c>
      <c r="AB54" s="2">
        <v>-2</v>
      </c>
      <c r="AC54" s="6">
        <f t="shared" si="145"/>
        <v>1577.1719999999989</v>
      </c>
      <c r="AD54" s="8" t="s">
        <v>73</v>
      </c>
      <c r="AE54" s="18" t="s">
        <v>67</v>
      </c>
      <c r="AF54" s="15" t="s">
        <v>180</v>
      </c>
      <c r="AG54" s="13">
        <f>ABS((79.9-G54)/Q54)</f>
        <v>1.9347826086956499</v>
      </c>
      <c r="AH54" s="24">
        <f t="shared" ref="AH54:AH55" si="146">AG54-Y54</f>
        <v>-0.60807453416148438</v>
      </c>
      <c r="AI54" s="11" t="s">
        <v>181</v>
      </c>
      <c r="AJ54" s="18" t="s">
        <v>154</v>
      </c>
    </row>
    <row r="55" spans="1:36" s="2" customFormat="1" x14ac:dyDescent="0.25">
      <c r="A55" s="2">
        <v>53</v>
      </c>
      <c r="B55" s="10">
        <v>42657</v>
      </c>
      <c r="C55" s="8" t="s">
        <v>2</v>
      </c>
      <c r="D55" s="5">
        <v>1</v>
      </c>
      <c r="E55" s="7">
        <v>0.38615740740740739</v>
      </c>
      <c r="F55" s="8">
        <v>52.47</v>
      </c>
      <c r="G55" s="8">
        <v>52.5</v>
      </c>
      <c r="H55" s="19">
        <f t="shared" si="134"/>
        <v>-3.8961038961040639E-2</v>
      </c>
      <c r="I55" s="8">
        <v>51.7</v>
      </c>
      <c r="J55" s="8">
        <v>55</v>
      </c>
      <c r="K55" s="6">
        <f t="shared" si="135"/>
        <v>3.2857142857143042</v>
      </c>
      <c r="L55" s="6">
        <f t="shared" si="136"/>
        <v>3.1250000000000111</v>
      </c>
      <c r="M55" s="8">
        <v>1568</v>
      </c>
      <c r="N55" s="2">
        <v>1</v>
      </c>
      <c r="O55" s="2">
        <f t="shared" si="137"/>
        <v>20</v>
      </c>
      <c r="P55" s="2">
        <f t="shared" si="138"/>
        <v>0.76999999999999602</v>
      </c>
      <c r="Q55" s="2">
        <f t="shared" si="139"/>
        <v>0.79999999999999716</v>
      </c>
      <c r="R55" s="9">
        <v>42664</v>
      </c>
      <c r="S55" s="7">
        <v>0.70677083333333324</v>
      </c>
      <c r="T55" s="8" t="s">
        <v>182</v>
      </c>
      <c r="U55" s="8">
        <v>54.08</v>
      </c>
      <c r="V55" s="8">
        <v>54.08</v>
      </c>
      <c r="W55" s="19">
        <f t="shared" si="140"/>
        <v>0</v>
      </c>
      <c r="X55" s="2">
        <f t="shared" si="141"/>
        <v>1.5799999999999983</v>
      </c>
      <c r="Y55" s="6">
        <f t="shared" si="142"/>
        <v>2.0519480519480604</v>
      </c>
      <c r="Z55" s="6">
        <f t="shared" si="143"/>
        <v>-15.408179100870708</v>
      </c>
      <c r="AA55" s="6">
        <f t="shared" si="144"/>
        <v>31.599999999999966</v>
      </c>
      <c r="AB55" s="2">
        <v>-2</v>
      </c>
      <c r="AC55" s="6">
        <f t="shared" si="145"/>
        <v>1606.7719999999988</v>
      </c>
      <c r="AD55" s="8" t="s">
        <v>165</v>
      </c>
      <c r="AE55" s="18" t="s">
        <v>183</v>
      </c>
      <c r="AF55" s="18" t="s">
        <v>184</v>
      </c>
      <c r="AG55" s="13">
        <f>ABS((54.75-G55)/Q55)</f>
        <v>2.8125000000000102</v>
      </c>
      <c r="AH55" s="24">
        <f t="shared" si="146"/>
        <v>0.76055194805194981</v>
      </c>
      <c r="AI55" s="8">
        <v>6</v>
      </c>
      <c r="AJ55" s="18" t="s">
        <v>124</v>
      </c>
    </row>
    <row r="56" spans="1:36" s="2" customFormat="1" x14ac:dyDescent="0.25">
      <c r="A56" s="2">
        <v>54</v>
      </c>
      <c r="B56" s="10">
        <v>42663</v>
      </c>
      <c r="C56" s="8" t="s">
        <v>185</v>
      </c>
      <c r="D56" s="5">
        <v>1</v>
      </c>
      <c r="E56" s="7">
        <v>0.37534722222222222</v>
      </c>
      <c r="F56" s="8">
        <v>58.8</v>
      </c>
      <c r="G56" s="8">
        <v>59.08</v>
      </c>
      <c r="H56" s="14">
        <f t="shared" ref="H56:H57" si="147">1-Q56/P56</f>
        <v>-0.31111111111111289</v>
      </c>
      <c r="I56" s="8">
        <v>57.9</v>
      </c>
      <c r="J56" s="8">
        <v>62</v>
      </c>
      <c r="K56" s="6">
        <f t="shared" ref="K56:K57" si="148">(J56-F56)/(F56-I56)</f>
        <v>3.5555555555555642</v>
      </c>
      <c r="L56" s="6">
        <f t="shared" ref="L56:L57" si="149">(J56-G56)/(G56-I56)</f>
        <v>2.4745762711864425</v>
      </c>
      <c r="M56" s="8">
        <v>1549</v>
      </c>
      <c r="N56" s="2">
        <v>1</v>
      </c>
      <c r="O56" s="2">
        <f t="shared" ref="O56:O57" si="150">ROUNDDOWN(M56*N56%/ABS(I56-F56),0)</f>
        <v>17</v>
      </c>
      <c r="P56" s="2">
        <f t="shared" ref="P56:P57" si="151">ABS(I56-F56)</f>
        <v>0.89999999999999858</v>
      </c>
      <c r="Q56" s="2">
        <f t="shared" ref="Q56:Q57" si="152">ABS(I56-G56)</f>
        <v>1.1799999999999997</v>
      </c>
      <c r="R56" s="9">
        <v>42664</v>
      </c>
      <c r="S56" s="7">
        <v>0.57270833333333326</v>
      </c>
      <c r="T56" s="8" t="s">
        <v>34</v>
      </c>
      <c r="U56" s="8">
        <v>62</v>
      </c>
      <c r="V56" s="8">
        <v>62.04</v>
      </c>
      <c r="W56" s="19">
        <f t="shared" ref="W56:W57" si="153">IF(D56&lt;0,(U56-V56)/Q56,(V56-U56)/Q56)</f>
        <v>3.3898305084745048E-2</v>
      </c>
      <c r="X56" s="2">
        <f t="shared" ref="X56:X57" si="154">IF(D56&lt;0,G56-V56,V56-G56)</f>
        <v>2.9600000000000009</v>
      </c>
      <c r="Y56" s="6">
        <f t="shared" ref="Y56:Y57" si="155">X56/P56</f>
        <v>3.288888888888895</v>
      </c>
      <c r="Z56" s="6">
        <f t="shared" ref="Z56:Z57" si="156">Z55+Y56</f>
        <v>-12.119290211981813</v>
      </c>
      <c r="AA56" s="6">
        <f t="shared" ref="AA56:AA57" si="157">X56*O56</f>
        <v>50.320000000000014</v>
      </c>
      <c r="AB56" s="2">
        <v>-2</v>
      </c>
      <c r="AC56" s="6">
        <f t="shared" ref="AC56:AC57" si="158">AC55+AA56+AB56</f>
        <v>1655.0919999999987</v>
      </c>
      <c r="AD56" s="8" t="s">
        <v>73</v>
      </c>
      <c r="AE56" s="18" t="s">
        <v>67</v>
      </c>
      <c r="AF56" s="18"/>
      <c r="AG56" s="13">
        <f>ABS((62-G56)/Q56)</f>
        <v>2.4745762711864425</v>
      </c>
      <c r="AH56" s="24">
        <f t="shared" ref="AH56:AH57" si="159">AG56-Y56</f>
        <v>-0.81431261770245245</v>
      </c>
      <c r="AI56" s="8">
        <v>2</v>
      </c>
      <c r="AJ56" s="18" t="s">
        <v>186</v>
      </c>
    </row>
    <row r="57" spans="1:36" s="2" customFormat="1" x14ac:dyDescent="0.25">
      <c r="A57" s="2">
        <v>55</v>
      </c>
      <c r="B57" s="10">
        <v>42663</v>
      </c>
      <c r="C57" s="8" t="s">
        <v>9</v>
      </c>
      <c r="D57" s="4">
        <v>-1</v>
      </c>
      <c r="E57" s="7">
        <v>0.43244212962962963</v>
      </c>
      <c r="F57" s="8">
        <v>82.8</v>
      </c>
      <c r="G57" s="8">
        <v>82.79</v>
      </c>
      <c r="H57" s="19">
        <f t="shared" si="147"/>
        <v>-1.6129032258049625E-2</v>
      </c>
      <c r="I57" s="8">
        <v>83.42</v>
      </c>
      <c r="J57" s="8">
        <v>80</v>
      </c>
      <c r="K57" s="6">
        <f t="shared" si="148"/>
        <v>4.5161290322580268</v>
      </c>
      <c r="L57" s="6">
        <f t="shared" si="149"/>
        <v>4.4285714285714706</v>
      </c>
      <c r="M57" s="8">
        <v>1549</v>
      </c>
      <c r="N57" s="2">
        <v>1</v>
      </c>
      <c r="O57" s="2">
        <f t="shared" si="150"/>
        <v>24</v>
      </c>
      <c r="P57" s="2">
        <f t="shared" si="151"/>
        <v>0.62000000000000455</v>
      </c>
      <c r="Q57" s="2">
        <f t="shared" si="152"/>
        <v>0.62999999999999545</v>
      </c>
      <c r="R57" s="9">
        <v>42664</v>
      </c>
      <c r="S57" s="7">
        <v>0.43346064814814816</v>
      </c>
      <c r="T57" s="8" t="s">
        <v>33</v>
      </c>
      <c r="U57" s="8">
        <v>83.42</v>
      </c>
      <c r="V57" s="8">
        <v>83.44</v>
      </c>
      <c r="W57" s="19">
        <f t="shared" si="153"/>
        <v>-3.1746031746025659E-2</v>
      </c>
      <c r="X57" s="2">
        <f t="shared" si="154"/>
        <v>-0.64999999999999147</v>
      </c>
      <c r="Y57" s="6">
        <f t="shared" si="155"/>
        <v>-1.0483870967741722</v>
      </c>
      <c r="Z57" s="6">
        <f t="shared" si="156"/>
        <v>-13.167677308755986</v>
      </c>
      <c r="AA57" s="6">
        <f t="shared" si="157"/>
        <v>-15.599999999999795</v>
      </c>
      <c r="AB57" s="2">
        <v>-2</v>
      </c>
      <c r="AC57" s="6">
        <f t="shared" si="158"/>
        <v>1637.4919999999988</v>
      </c>
      <c r="AD57" s="11" t="s">
        <v>187</v>
      </c>
      <c r="AE57" s="18" t="s">
        <v>67</v>
      </c>
      <c r="AF57" s="18" t="s">
        <v>188</v>
      </c>
      <c r="AG57" s="13">
        <f>ABS((81.65-G57)/Q57)</f>
        <v>1.8095238095238235</v>
      </c>
      <c r="AH57" s="22">
        <f t="shared" si="159"/>
        <v>2.8579109062979957</v>
      </c>
      <c r="AI57" s="8">
        <v>1</v>
      </c>
      <c r="AJ57" s="18" t="s">
        <v>188</v>
      </c>
    </row>
    <row r="58" spans="1:36" s="2" customFormat="1" x14ac:dyDescent="0.25">
      <c r="A58" s="2">
        <v>56</v>
      </c>
      <c r="B58" s="10">
        <v>42663</v>
      </c>
      <c r="C58" s="8" t="s">
        <v>24</v>
      </c>
      <c r="D58" s="4">
        <v>-1</v>
      </c>
      <c r="E58" s="7">
        <v>0.61422453703703705</v>
      </c>
      <c r="F58" s="8">
        <v>89.85</v>
      </c>
      <c r="G58" s="8">
        <v>89.83</v>
      </c>
      <c r="H58" s="19">
        <f t="shared" ref="H58" si="160">1-Q58/P58</f>
        <v>-1.7094017094013703E-2</v>
      </c>
      <c r="I58" s="8">
        <v>91.02</v>
      </c>
      <c r="J58" s="8">
        <v>86.2</v>
      </c>
      <c r="K58" s="6">
        <f t="shared" ref="K58" si="161">(J58-F58)/(F58-I58)</f>
        <v>3.1196581196581077</v>
      </c>
      <c r="L58" s="6">
        <f t="shared" ref="L58" si="162">(J58-G58)/(G58-I58)</f>
        <v>3.0504201680672289</v>
      </c>
      <c r="M58" s="8">
        <v>1549</v>
      </c>
      <c r="N58" s="2">
        <v>1</v>
      </c>
      <c r="O58" s="2">
        <f t="shared" ref="O58" si="163">ROUNDDOWN(M58*N58%/ABS(I58-F58),0)</f>
        <v>13</v>
      </c>
      <c r="P58" s="2">
        <f t="shared" ref="P58" si="164">ABS(I58-F58)</f>
        <v>1.1700000000000017</v>
      </c>
      <c r="Q58" s="2">
        <f t="shared" ref="Q58" si="165">ABS(I58-G58)</f>
        <v>1.1899999999999977</v>
      </c>
      <c r="R58" s="9">
        <v>42663</v>
      </c>
      <c r="S58" s="7">
        <v>0.67196759259259264</v>
      </c>
      <c r="T58" s="8" t="s">
        <v>33</v>
      </c>
      <c r="U58" s="8">
        <v>91.02</v>
      </c>
      <c r="V58" s="8">
        <v>91.03</v>
      </c>
      <c r="W58" s="19">
        <f t="shared" ref="W58" si="166">IF(D58&lt;0,(U58-V58)/Q58,(V58-U58)/Q58)</f>
        <v>-8.4033613445421308E-3</v>
      </c>
      <c r="X58" s="2">
        <f t="shared" ref="X58" si="167">IF(D58&lt;0,G58-V58,V58-G58)</f>
        <v>-1.2000000000000028</v>
      </c>
      <c r="Y58" s="6">
        <f t="shared" ref="Y58" si="168">X58/P58</f>
        <v>-1.0256410256410267</v>
      </c>
      <c r="Z58" s="6">
        <f t="shared" ref="Z58" si="169">Z57+Y58</f>
        <v>-14.193318334397013</v>
      </c>
      <c r="AA58" s="6">
        <f t="shared" ref="AA58" si="170">X58*O58</f>
        <v>-15.600000000000037</v>
      </c>
      <c r="AB58" s="2">
        <v>-2</v>
      </c>
      <c r="AC58" s="6">
        <f t="shared" ref="AC58" si="171">AC57+AA58+AB58</f>
        <v>1619.8919999999987</v>
      </c>
      <c r="AD58" s="8" t="s">
        <v>69</v>
      </c>
      <c r="AE58" s="18" t="s">
        <v>189</v>
      </c>
      <c r="AF58" s="18" t="s">
        <v>188</v>
      </c>
      <c r="AG58" s="13"/>
      <c r="AH58" s="22"/>
      <c r="AI58" s="8"/>
      <c r="AJ58" s="18" t="s">
        <v>190</v>
      </c>
    </row>
    <row r="59" spans="1:36" s="2" customFormat="1" x14ac:dyDescent="0.25">
      <c r="A59" s="2">
        <v>57</v>
      </c>
      <c r="B59" s="10">
        <v>42737</v>
      </c>
      <c r="C59" s="8" t="s">
        <v>25</v>
      </c>
      <c r="D59" s="4">
        <v>-1</v>
      </c>
      <c r="E59" s="7">
        <v>0.39546296296296296</v>
      </c>
      <c r="F59" s="8">
        <v>113.2</v>
      </c>
      <c r="G59" s="8">
        <v>113.25</v>
      </c>
      <c r="H59" s="19">
        <f t="shared" ref="H59:H60" si="172">1-Q59/P59</f>
        <v>5.5555555555552916E-2</v>
      </c>
      <c r="I59" s="8">
        <v>114.1</v>
      </c>
      <c r="J59" s="8">
        <v>110</v>
      </c>
      <c r="K59" s="6">
        <f t="shared" ref="K59:K60" si="173">(J59-F59)/(F59-I59)</f>
        <v>3.5555555555555922</v>
      </c>
      <c r="L59" s="6">
        <f t="shared" ref="L59:L60" si="174">(J59-G59)/(G59-I59)</f>
        <v>3.8235294117647314</v>
      </c>
      <c r="M59" s="8">
        <v>1472</v>
      </c>
      <c r="N59" s="2">
        <v>1</v>
      </c>
      <c r="O59" s="2">
        <f t="shared" ref="O59:O60" si="175">ROUNDDOWN(M59*N59%/ABS(I59-F59),0)</f>
        <v>16</v>
      </c>
      <c r="P59" s="2">
        <f t="shared" ref="P59:P60" si="176">ABS(I59-F59)</f>
        <v>0.89999999999999147</v>
      </c>
      <c r="Q59" s="2">
        <f t="shared" ref="Q59:Q60" si="177">ABS(I59-G59)</f>
        <v>0.84999999999999432</v>
      </c>
      <c r="R59" s="9">
        <v>42737</v>
      </c>
      <c r="S59" s="7">
        <v>0.40680555555555559</v>
      </c>
      <c r="T59" s="8" t="s">
        <v>33</v>
      </c>
      <c r="U59" s="8">
        <v>114.1</v>
      </c>
      <c r="V59" s="8">
        <v>114.2</v>
      </c>
      <c r="W59" s="14">
        <f t="shared" ref="W59:W60" si="178">IF(D59&lt;0,(U59-V59)/Q59,(V59-U59)/Q59)</f>
        <v>-0.11764705882354023</v>
      </c>
      <c r="X59" s="2">
        <f t="shared" ref="X59:X60" si="179">IF(D59&lt;0,G59-V59,V59-G59)</f>
        <v>-0.95000000000000284</v>
      </c>
      <c r="Y59" s="6">
        <f t="shared" ref="Y59:Y60" si="180">X59/P59</f>
        <v>-1.0555555555555687</v>
      </c>
      <c r="Z59" s="6">
        <f t="shared" ref="Z59:Z60" si="181">Z58+Y59</f>
        <v>-15.248873889952581</v>
      </c>
      <c r="AA59" s="6">
        <f t="shared" ref="AA59:AA60" si="182">X59*O59</f>
        <v>-15.200000000000045</v>
      </c>
      <c r="AB59" s="2">
        <v>-2</v>
      </c>
      <c r="AC59" s="6">
        <f t="shared" ref="AC59:AC60" si="183">AC58+AA59+AB59</f>
        <v>1602.6919999999986</v>
      </c>
      <c r="AD59" s="8" t="s">
        <v>191</v>
      </c>
      <c r="AE59" s="21" t="s">
        <v>193</v>
      </c>
      <c r="AF59" s="18" t="s">
        <v>192</v>
      </c>
      <c r="AG59" s="13">
        <v>0</v>
      </c>
      <c r="AH59" s="24"/>
      <c r="AI59" s="8"/>
      <c r="AJ59" s="18" t="s">
        <v>170</v>
      </c>
    </row>
    <row r="60" spans="1:36" s="2" customFormat="1" x14ac:dyDescent="0.25">
      <c r="A60" s="2">
        <v>58</v>
      </c>
      <c r="B60" s="10">
        <v>42737</v>
      </c>
      <c r="C60" s="8" t="s">
        <v>22</v>
      </c>
      <c r="D60" s="5">
        <v>1</v>
      </c>
      <c r="E60" s="7">
        <v>0.37565972222222221</v>
      </c>
      <c r="F60" s="8">
        <v>7.28</v>
      </c>
      <c r="G60" s="8">
        <v>7.28</v>
      </c>
      <c r="H60" s="19">
        <f t="shared" si="172"/>
        <v>0</v>
      </c>
      <c r="I60" s="8">
        <v>7.17</v>
      </c>
      <c r="J60" s="8">
        <v>7.8</v>
      </c>
      <c r="K60" s="6">
        <f t="shared" si="173"/>
        <v>4.7272727272727098</v>
      </c>
      <c r="L60" s="6">
        <f t="shared" si="174"/>
        <v>4.7272727272727098</v>
      </c>
      <c r="M60" s="8">
        <v>1472</v>
      </c>
      <c r="N60" s="2">
        <v>1</v>
      </c>
      <c r="O60" s="2">
        <f t="shared" si="175"/>
        <v>133</v>
      </c>
      <c r="P60" s="2">
        <f t="shared" si="176"/>
        <v>0.11000000000000032</v>
      </c>
      <c r="Q60" s="2">
        <f t="shared" si="177"/>
        <v>0.11000000000000032</v>
      </c>
      <c r="R60" s="9">
        <v>42738</v>
      </c>
      <c r="S60" s="7">
        <v>0.6260648148148148</v>
      </c>
      <c r="T60" s="8" t="s">
        <v>34</v>
      </c>
      <c r="U60" s="8">
        <v>7.8</v>
      </c>
      <c r="V60" s="8">
        <v>7.8019999999999996</v>
      </c>
      <c r="W60" s="19">
        <f t="shared" si="178"/>
        <v>1.8181818181816127E-2</v>
      </c>
      <c r="X60" s="2">
        <f t="shared" si="179"/>
        <v>0.52199999999999935</v>
      </c>
      <c r="Y60" s="6">
        <f t="shared" si="180"/>
        <v>4.7454545454545256</v>
      </c>
      <c r="Z60" s="6">
        <f t="shared" si="181"/>
        <v>-10.503419344498056</v>
      </c>
      <c r="AA60" s="6">
        <f t="shared" si="182"/>
        <v>69.425999999999917</v>
      </c>
      <c r="AB60" s="2">
        <v>-2</v>
      </c>
      <c r="AC60" s="6">
        <f t="shared" si="183"/>
        <v>1670.1179999999986</v>
      </c>
      <c r="AD60" s="8" t="s">
        <v>73</v>
      </c>
      <c r="AE60" s="18" t="s">
        <v>67</v>
      </c>
      <c r="AF60" s="18" t="s">
        <v>67</v>
      </c>
      <c r="AG60" s="13">
        <f>ABS((7.802-G60)/Q60)</f>
        <v>4.7454545454545256</v>
      </c>
      <c r="AH60" s="24">
        <f t="shared" ref="AH60:AH64" si="184">AG60-Y60</f>
        <v>0</v>
      </c>
      <c r="AI60" s="8">
        <v>2</v>
      </c>
      <c r="AJ60" s="18" t="s">
        <v>154</v>
      </c>
    </row>
    <row r="61" spans="1:36" s="2" customFormat="1" x14ac:dyDescent="0.25">
      <c r="A61" s="2">
        <v>59</v>
      </c>
      <c r="B61" s="10">
        <v>42737</v>
      </c>
      <c r="C61" s="8" t="s">
        <v>176</v>
      </c>
      <c r="D61" s="5">
        <v>1</v>
      </c>
      <c r="E61" s="7">
        <v>0.39921296296296299</v>
      </c>
      <c r="F61" s="8">
        <v>84.8</v>
      </c>
      <c r="G61" s="8">
        <v>84.79</v>
      </c>
      <c r="H61" s="19">
        <f t="shared" ref="H61:H64" si="185">1-Q61/P61</f>
        <v>1.0204081632643747E-2</v>
      </c>
      <c r="I61" s="8">
        <v>83.82</v>
      </c>
      <c r="J61" s="8">
        <v>88</v>
      </c>
      <c r="K61" s="6">
        <f t="shared" ref="K61:K64" si="186">(J61-F61)/(F61-I61)</f>
        <v>3.2653061224489695</v>
      </c>
      <c r="L61" s="6">
        <f t="shared" ref="L61:L64" si="187">(J61-G61)/(G61-I61)</f>
        <v>3.3092783505154131</v>
      </c>
      <c r="M61" s="8">
        <v>1472</v>
      </c>
      <c r="N61" s="2">
        <v>1</v>
      </c>
      <c r="O61" s="2">
        <f t="shared" ref="O61:O64" si="188">ROUNDDOWN(M61*N61%/ABS(I61-F61),0)</f>
        <v>15</v>
      </c>
      <c r="P61" s="2">
        <f t="shared" ref="P61:P64" si="189">ABS(I61-F61)</f>
        <v>0.98000000000000398</v>
      </c>
      <c r="Q61" s="2">
        <f t="shared" ref="Q61:Q64" si="190">ABS(I61-G61)</f>
        <v>0.97000000000001307</v>
      </c>
      <c r="R61" s="9">
        <v>42739</v>
      </c>
      <c r="S61" s="7">
        <v>0.40857638888888892</v>
      </c>
      <c r="T61" s="8" t="s">
        <v>57</v>
      </c>
      <c r="U61" s="8">
        <v>85.551000000000002</v>
      </c>
      <c r="V61" s="8">
        <v>85.54</v>
      </c>
      <c r="W61" s="19">
        <f t="shared" ref="W61:W64" si="191">IF(D61&lt;0,(U61-V61)/Q61,(V61-U61)/Q61)</f>
        <v>-1.1340206185562404E-2</v>
      </c>
      <c r="X61" s="2">
        <f t="shared" ref="X61:X64" si="192">IF(D61&lt;0,G61-V61,V61-G61)</f>
        <v>0.75</v>
      </c>
      <c r="Y61" s="6">
        <f t="shared" ref="Y61:Y64" si="193">X61/P61</f>
        <v>0.76530612244897644</v>
      </c>
      <c r="Z61" s="6">
        <f t="shared" ref="Z61:Z68" si="194">Z60+Y61</f>
        <v>-9.7381132220490798</v>
      </c>
      <c r="AA61" s="6">
        <f t="shared" ref="AA61:AA64" si="195">X61*O61</f>
        <v>11.25</v>
      </c>
      <c r="AB61" s="2">
        <v>-2</v>
      </c>
      <c r="AC61" s="6">
        <f t="shared" ref="AC61:AC62" si="196">AC60+AA61+AB61</f>
        <v>1679.3679999999986</v>
      </c>
      <c r="AD61" s="8" t="s">
        <v>73</v>
      </c>
      <c r="AE61" s="18" t="s">
        <v>67</v>
      </c>
      <c r="AF61" s="18" t="s">
        <v>194</v>
      </c>
      <c r="AG61" s="13">
        <f>ABS((87.05-G61)/Q61)</f>
        <v>2.3298969072164541</v>
      </c>
      <c r="AH61" s="25">
        <f t="shared" ref="AH61" si="197">AG61-Y61</f>
        <v>1.5645907847674776</v>
      </c>
      <c r="AI61" s="8">
        <v>2</v>
      </c>
      <c r="AJ61" s="18" t="s">
        <v>52</v>
      </c>
    </row>
    <row r="62" spans="1:36" s="2" customFormat="1" x14ac:dyDescent="0.25">
      <c r="A62" s="2">
        <v>60</v>
      </c>
      <c r="B62" s="10">
        <v>42739</v>
      </c>
      <c r="C62" s="8" t="s">
        <v>18</v>
      </c>
      <c r="D62" s="4">
        <v>-1</v>
      </c>
      <c r="E62" s="7">
        <v>0.37664351851851857</v>
      </c>
      <c r="F62" s="8">
        <v>11.96</v>
      </c>
      <c r="G62" s="8">
        <v>11.965</v>
      </c>
      <c r="H62" s="19">
        <f t="shared" si="185"/>
        <v>2.0833333333329374E-2</v>
      </c>
      <c r="I62" s="8">
        <v>12.2</v>
      </c>
      <c r="J62" s="8">
        <v>11.17</v>
      </c>
      <c r="K62" s="6">
        <f t="shared" si="186"/>
        <v>3.2916666666666918</v>
      </c>
      <c r="L62" s="6">
        <f t="shared" si="187"/>
        <v>3.3829787234042632</v>
      </c>
      <c r="M62" s="8">
        <v>1522</v>
      </c>
      <c r="N62" s="2">
        <v>1</v>
      </c>
      <c r="O62" s="2">
        <f t="shared" si="188"/>
        <v>63</v>
      </c>
      <c r="P62" s="2">
        <f t="shared" si="189"/>
        <v>0.23999999999999844</v>
      </c>
      <c r="Q62" s="2">
        <f t="shared" si="190"/>
        <v>0.23499999999999943</v>
      </c>
      <c r="R62" s="9">
        <v>42746</v>
      </c>
      <c r="S62" s="7">
        <v>0.37986111111111115</v>
      </c>
      <c r="T62" s="8" t="s">
        <v>57</v>
      </c>
      <c r="U62" s="8">
        <v>12.045999999999999</v>
      </c>
      <c r="V62" s="8">
        <v>12.05</v>
      </c>
      <c r="W62" s="19">
        <f t="shared" si="191"/>
        <v>-1.7021276595750406E-2</v>
      </c>
      <c r="X62" s="2">
        <f t="shared" si="192"/>
        <v>-8.5000000000000853E-2</v>
      </c>
      <c r="Y62" s="6">
        <f t="shared" si="193"/>
        <v>-0.35416666666667251</v>
      </c>
      <c r="Z62" s="6">
        <f t="shared" si="194"/>
        <v>-10.092279888715753</v>
      </c>
      <c r="AA62" s="6">
        <f t="shared" si="195"/>
        <v>-5.3550000000000537</v>
      </c>
      <c r="AB62" s="2">
        <v>-2</v>
      </c>
      <c r="AC62" s="6">
        <f t="shared" si="196"/>
        <v>1672.0129999999986</v>
      </c>
      <c r="AD62" s="8" t="s">
        <v>69</v>
      </c>
      <c r="AE62" s="18" t="s">
        <v>67</v>
      </c>
      <c r="AF62" s="27" t="s">
        <v>168</v>
      </c>
      <c r="AG62" s="13">
        <f>ABS((11.6-G62)/Q62)</f>
        <v>1.5531914893617067</v>
      </c>
      <c r="AH62" s="25">
        <f t="shared" si="184"/>
        <v>1.9073581560283792</v>
      </c>
      <c r="AI62" s="8">
        <v>5</v>
      </c>
      <c r="AJ62" s="18" t="s">
        <v>124</v>
      </c>
    </row>
    <row r="63" spans="1:36" s="2" customFormat="1" x14ac:dyDescent="0.25">
      <c r="A63" s="2">
        <v>61</v>
      </c>
      <c r="B63" s="10">
        <v>42745</v>
      </c>
      <c r="C63" s="8" t="s">
        <v>204</v>
      </c>
      <c r="D63" s="4">
        <v>-1</v>
      </c>
      <c r="E63" s="7">
        <v>0.37813657407407408</v>
      </c>
      <c r="F63" s="8">
        <v>105.1</v>
      </c>
      <c r="G63" s="8">
        <v>104.75</v>
      </c>
      <c r="H63" s="14">
        <f t="shared" ref="H63" si="198">1-Q63/P63</f>
        <v>-0.23333333333332962</v>
      </c>
      <c r="I63" s="8">
        <v>106.6</v>
      </c>
      <c r="J63" s="8">
        <v>101</v>
      </c>
      <c r="K63" s="6">
        <f t="shared" ref="K63" si="199">(J63-F63)/(F63-I63)</f>
        <v>2.7333333333333294</v>
      </c>
      <c r="L63" s="6">
        <f t="shared" ref="L63" si="200">(J63-G63)/(G63-I63)</f>
        <v>2.0270270270270334</v>
      </c>
      <c r="M63" s="8">
        <v>1531</v>
      </c>
      <c r="N63" s="2">
        <v>1</v>
      </c>
      <c r="O63" s="2">
        <f t="shared" ref="O63" si="201">ROUNDDOWN(M63*N63%/ABS(I63-F63),0)</f>
        <v>10</v>
      </c>
      <c r="P63" s="2">
        <f t="shared" ref="P63" si="202">ABS(I63-F63)</f>
        <v>1.5</v>
      </c>
      <c r="Q63" s="2">
        <f t="shared" ref="Q63" si="203">ABS(I63-G63)</f>
        <v>1.8499999999999943</v>
      </c>
      <c r="R63" s="9">
        <v>42755</v>
      </c>
      <c r="S63" s="7">
        <v>0.71487268518518521</v>
      </c>
      <c r="T63" s="29" t="s">
        <v>197</v>
      </c>
      <c r="U63" s="8">
        <v>102.25</v>
      </c>
      <c r="V63" s="8">
        <v>102.25</v>
      </c>
      <c r="W63" s="19">
        <f t="shared" ref="W63" si="204">IF(D63&lt;0,(U63-V63)/Q63,(V63-U63)/Q63)</f>
        <v>0</v>
      </c>
      <c r="X63" s="2">
        <f t="shared" ref="X63" si="205">IF(D63&lt;0,G63-V63,V63-G63)</f>
        <v>2.5</v>
      </c>
      <c r="Y63" s="6">
        <f t="shared" ref="Y63" si="206">X63/P63</f>
        <v>1.6666666666666667</v>
      </c>
      <c r="Z63" s="6">
        <f t="shared" si="194"/>
        <v>-8.4256132220490869</v>
      </c>
      <c r="AA63" s="6">
        <f t="shared" ref="AA63" si="207">X63*O63</f>
        <v>25</v>
      </c>
      <c r="AB63" s="2">
        <v>-2</v>
      </c>
      <c r="AC63" s="6">
        <f t="shared" ref="AC63" si="208">AC60+AA63+AB63</f>
        <v>1693.1179999999986</v>
      </c>
      <c r="AD63" s="8" t="s">
        <v>165</v>
      </c>
      <c r="AE63" s="18" t="s">
        <v>67</v>
      </c>
      <c r="AF63" s="21" t="s">
        <v>201</v>
      </c>
      <c r="AG63" s="13">
        <f>ABS((59.19-G63)/Q63)</f>
        <v>24.627027027027104</v>
      </c>
      <c r="AH63" s="24">
        <f t="shared" ref="AH63" si="209">AG63-Y63</f>
        <v>22.960360360360436</v>
      </c>
      <c r="AI63" s="8">
        <v>8</v>
      </c>
      <c r="AJ63" s="18" t="s">
        <v>124</v>
      </c>
    </row>
    <row r="64" spans="1:36" s="2" customFormat="1" x14ac:dyDescent="0.25">
      <c r="A64" s="2">
        <v>62</v>
      </c>
      <c r="B64" s="10">
        <v>42746</v>
      </c>
      <c r="C64" s="8" t="s">
        <v>203</v>
      </c>
      <c r="D64" s="4">
        <v>-1</v>
      </c>
      <c r="E64" s="7">
        <v>0.38541666666666669</v>
      </c>
      <c r="F64" s="8">
        <v>60.92</v>
      </c>
      <c r="G64" s="8">
        <v>60.91</v>
      </c>
      <c r="H64" s="19">
        <f t="shared" si="185"/>
        <v>-1.6393442622959276E-2</v>
      </c>
      <c r="I64" s="8">
        <v>61.53</v>
      </c>
      <c r="J64" s="8">
        <v>59</v>
      </c>
      <c r="K64" s="6">
        <f t="shared" si="186"/>
        <v>3.1475409836065631</v>
      </c>
      <c r="L64" s="6">
        <f t="shared" si="187"/>
        <v>3.0806451612902945</v>
      </c>
      <c r="M64" s="8">
        <v>1531</v>
      </c>
      <c r="N64" s="2">
        <v>1</v>
      </c>
      <c r="O64" s="2">
        <f t="shared" si="188"/>
        <v>25</v>
      </c>
      <c r="P64" s="2">
        <f t="shared" si="189"/>
        <v>0.60999999999999943</v>
      </c>
      <c r="Q64" s="2">
        <f t="shared" si="190"/>
        <v>0.62000000000000455</v>
      </c>
      <c r="R64" s="9">
        <v>42755</v>
      </c>
      <c r="S64" s="7">
        <v>0.71487268518518521</v>
      </c>
      <c r="T64" s="29" t="s">
        <v>197</v>
      </c>
      <c r="U64" s="8">
        <v>59.39</v>
      </c>
      <c r="V64" s="8">
        <v>59.39</v>
      </c>
      <c r="W64" s="19">
        <f t="shared" si="191"/>
        <v>0</v>
      </c>
      <c r="X64" s="2">
        <f t="shared" si="192"/>
        <v>1.519999999999996</v>
      </c>
      <c r="Y64" s="6">
        <f t="shared" si="193"/>
        <v>2.4918032786885203</v>
      </c>
      <c r="Z64" s="6">
        <f t="shared" si="194"/>
        <v>-5.9338099433605667</v>
      </c>
      <c r="AA64" s="6">
        <f t="shared" si="195"/>
        <v>37.999999999999901</v>
      </c>
      <c r="AB64" s="2">
        <v>-2</v>
      </c>
      <c r="AC64" s="6">
        <f t="shared" ref="AC64" si="210">AC61+AA64+AB64</f>
        <v>1715.3679999999986</v>
      </c>
      <c r="AD64" s="8" t="s">
        <v>165</v>
      </c>
      <c r="AE64" s="18" t="s">
        <v>67</v>
      </c>
      <c r="AF64" s="21" t="s">
        <v>201</v>
      </c>
      <c r="AG64" s="13">
        <f>ABS((59.19-G64)/Q64)</f>
        <v>2.7741935483870748</v>
      </c>
      <c r="AH64" s="24">
        <f t="shared" si="184"/>
        <v>0.28239026969855452</v>
      </c>
      <c r="AI64" s="8">
        <v>8</v>
      </c>
      <c r="AJ64" s="18" t="s">
        <v>124</v>
      </c>
    </row>
    <row r="65" spans="1:36" s="2" customFormat="1" x14ac:dyDescent="0.25">
      <c r="A65" s="2">
        <v>63</v>
      </c>
      <c r="B65" s="10">
        <v>42747</v>
      </c>
      <c r="C65" s="8" t="s">
        <v>200</v>
      </c>
      <c r="D65" s="4">
        <v>-1</v>
      </c>
      <c r="E65" s="7">
        <v>0.37541666666666668</v>
      </c>
      <c r="F65" s="8">
        <v>75.709999999999994</v>
      </c>
      <c r="G65" s="8">
        <v>75.63</v>
      </c>
      <c r="H65" s="19">
        <f t="shared" ref="H65" si="211">1-Q65/P65</f>
        <v>-7.207207207207067E-2</v>
      </c>
      <c r="I65" s="8">
        <v>76.819999999999993</v>
      </c>
      <c r="J65" s="8">
        <v>72</v>
      </c>
      <c r="K65" s="6">
        <f t="shared" ref="K65" si="212">(J65-F65)/(F65-I65)</f>
        <v>3.3423423423423384</v>
      </c>
      <c r="L65" s="6">
        <f t="shared" ref="L65" si="213">(J65-G65)/(G65-I65)</f>
        <v>3.0504201680672289</v>
      </c>
      <c r="M65" s="8">
        <v>1523</v>
      </c>
      <c r="N65" s="2">
        <v>1</v>
      </c>
      <c r="O65" s="2">
        <f t="shared" ref="O65" si="214">ROUNDDOWN(M65*N65%/ABS(I65-F65),0)</f>
        <v>13</v>
      </c>
      <c r="P65" s="2">
        <f t="shared" ref="P65" si="215">ABS(I65-F65)</f>
        <v>1.1099999999999994</v>
      </c>
      <c r="Q65" s="2">
        <f t="shared" ref="Q65" si="216">ABS(I65-G65)</f>
        <v>1.1899999999999977</v>
      </c>
      <c r="R65" s="9">
        <v>42755</v>
      </c>
      <c r="S65" s="7">
        <v>0.71487268518518521</v>
      </c>
      <c r="T65" s="29" t="s">
        <v>197</v>
      </c>
      <c r="U65" s="8">
        <v>75.91</v>
      </c>
      <c r="V65" s="8">
        <v>75.91</v>
      </c>
      <c r="W65" s="19">
        <f t="shared" ref="W65" si="217">IF(D65&lt;0,(U65-V65)/Q65,(V65-U65)/Q65)</f>
        <v>0</v>
      </c>
      <c r="X65" s="2">
        <f t="shared" ref="X65" si="218">IF(D65&lt;0,G65-V65,V65-G65)</f>
        <v>-0.28000000000000114</v>
      </c>
      <c r="Y65" s="6">
        <f t="shared" ref="Y65" si="219">X65/P65</f>
        <v>-0.25225225225225339</v>
      </c>
      <c r="Z65" s="6">
        <f t="shared" si="194"/>
        <v>-6.1860621956128199</v>
      </c>
      <c r="AA65" s="6">
        <f t="shared" ref="AA65" si="220">X65*O65</f>
        <v>-3.6400000000000148</v>
      </c>
      <c r="AB65" s="2">
        <v>-2</v>
      </c>
      <c r="AC65" s="6">
        <f t="shared" ref="AC65" si="221">AC62+AA65+AB65</f>
        <v>1666.3729999999985</v>
      </c>
      <c r="AD65" s="8" t="s">
        <v>165</v>
      </c>
      <c r="AE65" s="18" t="s">
        <v>52</v>
      </c>
      <c r="AF65" s="21" t="s">
        <v>201</v>
      </c>
      <c r="AG65" s="13">
        <f>ABS((75.08-G65)/Q65)</f>
        <v>0.4621848739495783</v>
      </c>
      <c r="AH65" s="24">
        <f t="shared" ref="AH65" si="222">AG65-Y65</f>
        <v>0.71443712620183164</v>
      </c>
      <c r="AI65" s="8">
        <v>1</v>
      </c>
      <c r="AJ65" s="15" t="s">
        <v>202</v>
      </c>
    </row>
    <row r="66" spans="1:36" s="2" customFormat="1" x14ac:dyDescent="0.25">
      <c r="A66" s="2">
        <v>64</v>
      </c>
      <c r="B66" s="10">
        <v>42752</v>
      </c>
      <c r="C66" s="8" t="s">
        <v>195</v>
      </c>
      <c r="D66" s="5">
        <v>1</v>
      </c>
      <c r="E66" s="7">
        <v>0.64700231481481485</v>
      </c>
      <c r="F66" s="8">
        <v>189.2</v>
      </c>
      <c r="G66" s="8">
        <v>189.2</v>
      </c>
      <c r="H66" s="19">
        <f t="shared" ref="H66:H69" si="223">1-Q66/P66</f>
        <v>0</v>
      </c>
      <c r="I66" s="8">
        <v>187.5</v>
      </c>
      <c r="J66" s="8">
        <v>194</v>
      </c>
      <c r="K66" s="6">
        <f t="shared" ref="K66:K69" si="224">(J66-F66)/(F66-I66)</f>
        <v>2.8235294117647314</v>
      </c>
      <c r="L66" s="6">
        <f t="shared" ref="L66:L69" si="225">(J66-G66)/(G66-I66)</f>
        <v>2.8235294117647314</v>
      </c>
      <c r="M66" s="8">
        <v>1522</v>
      </c>
      <c r="N66" s="2">
        <v>1</v>
      </c>
      <c r="O66" s="2">
        <f t="shared" ref="O66:O69" si="226">ROUNDDOWN(M66*N66%/ABS(I66-F66),0)</f>
        <v>8</v>
      </c>
      <c r="P66" s="2">
        <f t="shared" ref="P66:P69" si="227">ABS(I66-F66)</f>
        <v>1.6999999999999886</v>
      </c>
      <c r="Q66" s="2">
        <f t="shared" ref="Q66:Q69" si="228">ABS(I66-G66)</f>
        <v>1.6999999999999886</v>
      </c>
      <c r="R66" s="9">
        <v>42753</v>
      </c>
      <c r="S66" s="7">
        <v>0.38515046296296296</v>
      </c>
      <c r="T66" s="8" t="s">
        <v>33</v>
      </c>
      <c r="U66" s="8">
        <v>187.5</v>
      </c>
      <c r="V66" s="8">
        <v>187.5</v>
      </c>
      <c r="W66" s="19">
        <f t="shared" ref="W66:W69" si="229">IF(D66&lt;0,(U66-V66)/Q66,(V66-U66)/Q66)</f>
        <v>0</v>
      </c>
      <c r="X66" s="2">
        <f t="shared" ref="X66:X69" si="230">IF(D66&lt;0,G66-V66,V66-G66)</f>
        <v>-1.6999999999999886</v>
      </c>
      <c r="Y66" s="6">
        <f t="shared" ref="Y66:Y69" si="231">X66/P66</f>
        <v>-1</v>
      </c>
      <c r="Z66" s="6">
        <f t="shared" si="194"/>
        <v>-7.1860621956128199</v>
      </c>
      <c r="AA66" s="6">
        <f t="shared" ref="AA66:AA69" si="232">X66*O66</f>
        <v>-13.599999999999909</v>
      </c>
      <c r="AB66" s="2">
        <v>-2</v>
      </c>
      <c r="AC66" s="6">
        <f t="shared" ref="AC66" si="233">AC62+AA66+AB66</f>
        <v>1656.4129999999986</v>
      </c>
      <c r="AD66" s="8" t="s">
        <v>73</v>
      </c>
      <c r="AE66" s="18" t="s">
        <v>52</v>
      </c>
      <c r="AF66" s="18" t="s">
        <v>52</v>
      </c>
      <c r="AG66" s="13">
        <v>0</v>
      </c>
      <c r="AH66" s="25"/>
      <c r="AI66" s="8"/>
      <c r="AJ66" s="18" t="s">
        <v>52</v>
      </c>
    </row>
    <row r="67" spans="1:36" s="2" customFormat="1" x14ac:dyDescent="0.25">
      <c r="A67" s="2">
        <v>65</v>
      </c>
      <c r="B67" s="10">
        <v>42752</v>
      </c>
      <c r="C67" s="8" t="s">
        <v>176</v>
      </c>
      <c r="D67" s="5">
        <v>1</v>
      </c>
      <c r="E67" s="7">
        <v>0.48549768518518516</v>
      </c>
      <c r="F67" s="8">
        <v>83.5</v>
      </c>
      <c r="G67" s="8">
        <v>83.5</v>
      </c>
      <c r="H67" s="19">
        <f t="shared" ref="H67" si="234">1-Q67/P67</f>
        <v>0</v>
      </c>
      <c r="I67" s="8">
        <v>81.92</v>
      </c>
      <c r="J67" s="8">
        <v>89</v>
      </c>
      <c r="K67" s="6">
        <f t="shared" ref="K67" si="235">(J67-F67)/(F67-I67)</f>
        <v>3.481012658227852</v>
      </c>
      <c r="L67" s="6">
        <f t="shared" ref="L67" si="236">(J67-G67)/(G67-I67)</f>
        <v>3.481012658227852</v>
      </c>
      <c r="M67" s="8">
        <v>1522</v>
      </c>
      <c r="N67" s="2">
        <v>1</v>
      </c>
      <c r="O67" s="2">
        <f t="shared" ref="O67" si="237">ROUNDDOWN(M67*N67%/ABS(I67-F67),0)</f>
        <v>9</v>
      </c>
      <c r="P67" s="2">
        <f t="shared" ref="P67" si="238">ABS(I67-F67)</f>
        <v>1.5799999999999983</v>
      </c>
      <c r="Q67" s="2">
        <f t="shared" ref="Q67" si="239">ABS(I67-G67)</f>
        <v>1.5799999999999983</v>
      </c>
      <c r="R67" s="9">
        <v>42755</v>
      </c>
      <c r="S67" s="7">
        <v>0.71487268518518521</v>
      </c>
      <c r="T67" s="29" t="s">
        <v>197</v>
      </c>
      <c r="U67" s="8">
        <v>86.31</v>
      </c>
      <c r="V67" s="8">
        <v>86.31</v>
      </c>
      <c r="W67" s="19">
        <f t="shared" ref="W67" si="240">IF(D67&lt;0,(U67-V67)/Q67,(V67-U67)/Q67)</f>
        <v>0</v>
      </c>
      <c r="X67" s="2">
        <f t="shared" ref="X67" si="241">IF(D67&lt;0,G67-V67,V67-G67)</f>
        <v>2.8100000000000023</v>
      </c>
      <c r="Y67" s="6">
        <f t="shared" ref="Y67" si="242">X67/P67</f>
        <v>1.7784810126582311</v>
      </c>
      <c r="Z67" s="6">
        <f t="shared" si="194"/>
        <v>-5.4075811829545888</v>
      </c>
      <c r="AA67" s="6">
        <f t="shared" ref="AA67" si="243">X67*O67</f>
        <v>25.29000000000002</v>
      </c>
      <c r="AB67" s="2">
        <v>-2</v>
      </c>
      <c r="AC67" s="6">
        <f t="shared" ref="AC67" si="244">AC66+AA67+AB67</f>
        <v>1679.7029999999986</v>
      </c>
      <c r="AD67" s="8" t="s">
        <v>73</v>
      </c>
      <c r="AE67" s="18" t="s">
        <v>198</v>
      </c>
      <c r="AF67" s="21" t="s">
        <v>201</v>
      </c>
      <c r="AG67" s="13">
        <v>1.78</v>
      </c>
      <c r="AH67" s="25"/>
      <c r="AI67" s="8">
        <v>3</v>
      </c>
      <c r="AJ67" s="15" t="s">
        <v>199</v>
      </c>
    </row>
    <row r="68" spans="1:36" s="2" customFormat="1" x14ac:dyDescent="0.25">
      <c r="A68" s="2">
        <v>66</v>
      </c>
      <c r="B68" s="10">
        <v>42754</v>
      </c>
      <c r="C68" s="8" t="s">
        <v>0</v>
      </c>
      <c r="D68" s="4">
        <v>-1</v>
      </c>
      <c r="E68" s="7">
        <v>0.37645833333333334</v>
      </c>
      <c r="F68" s="8">
        <v>15.37</v>
      </c>
      <c r="G68" s="8">
        <v>15.37</v>
      </c>
      <c r="H68" s="19">
        <f t="shared" si="223"/>
        <v>0</v>
      </c>
      <c r="I68" s="8">
        <v>15.58</v>
      </c>
      <c r="J68" s="8">
        <v>14.5</v>
      </c>
      <c r="K68" s="6">
        <f t="shared" si="224"/>
        <v>4.1428571428571219</v>
      </c>
      <c r="L68" s="6">
        <f t="shared" si="225"/>
        <v>4.1428571428571219</v>
      </c>
      <c r="M68" s="8">
        <v>1505</v>
      </c>
      <c r="N68" s="2">
        <v>1</v>
      </c>
      <c r="O68" s="2">
        <f t="shared" si="226"/>
        <v>71</v>
      </c>
      <c r="P68" s="2">
        <f t="shared" si="227"/>
        <v>0.21000000000000085</v>
      </c>
      <c r="Q68" s="2">
        <f t="shared" si="228"/>
        <v>0.21000000000000085</v>
      </c>
      <c r="R68" s="9">
        <v>42755</v>
      </c>
      <c r="S68" s="7">
        <v>0.37870370370370371</v>
      </c>
      <c r="T68" s="8" t="s">
        <v>33</v>
      </c>
      <c r="U68" s="8">
        <v>15.58</v>
      </c>
      <c r="V68" s="8">
        <v>15.58</v>
      </c>
      <c r="W68" s="19">
        <f t="shared" si="229"/>
        <v>0</v>
      </c>
      <c r="X68" s="2">
        <f t="shared" si="230"/>
        <v>-0.21000000000000085</v>
      </c>
      <c r="Y68" s="6">
        <f t="shared" si="231"/>
        <v>-1</v>
      </c>
      <c r="Z68" s="6">
        <f t="shared" si="194"/>
        <v>-6.4075811829545888</v>
      </c>
      <c r="AA68" s="6">
        <f t="shared" si="232"/>
        <v>-14.910000000000061</v>
      </c>
      <c r="AB68" s="2">
        <v>-2</v>
      </c>
      <c r="AC68" s="6">
        <f>AC66+AA68+AB68</f>
        <v>1639.5029999999986</v>
      </c>
      <c r="AD68" s="8" t="s">
        <v>69</v>
      </c>
      <c r="AE68" s="18" t="s">
        <v>52</v>
      </c>
      <c r="AF68" s="28" t="s">
        <v>52</v>
      </c>
      <c r="AG68" s="13">
        <f>ABS((15.28-G68)/Q68)</f>
        <v>0.42857142857142616</v>
      </c>
      <c r="AH68" s="25"/>
      <c r="AI68" s="8">
        <v>1</v>
      </c>
      <c r="AJ68" s="15" t="s">
        <v>196</v>
      </c>
    </row>
    <row r="69" spans="1:36" s="2" customFormat="1" x14ac:dyDescent="0.25">
      <c r="A69" s="2">
        <v>67</v>
      </c>
      <c r="B69" s="10">
        <v>42759</v>
      </c>
      <c r="C69" s="8" t="s">
        <v>205</v>
      </c>
      <c r="D69" s="5">
        <v>1</v>
      </c>
      <c r="E69" s="7">
        <v>0.37540509259259264</v>
      </c>
      <c r="F69" s="8">
        <v>64.95</v>
      </c>
      <c r="G69" s="8">
        <v>64.98</v>
      </c>
      <c r="H69" s="19">
        <f t="shared" si="223"/>
        <v>-4.6153846153847544E-2</v>
      </c>
      <c r="I69" s="8">
        <v>64.3</v>
      </c>
      <c r="J69" s="8">
        <v>67</v>
      </c>
      <c r="K69" s="6">
        <f t="shared" si="224"/>
        <v>3.1538461538461218</v>
      </c>
      <c r="L69" s="6">
        <f t="shared" si="225"/>
        <v>2.9705882352940818</v>
      </c>
      <c r="M69" s="8">
        <v>1569</v>
      </c>
      <c r="N69" s="2">
        <v>1</v>
      </c>
      <c r="O69" s="2">
        <f t="shared" si="226"/>
        <v>24</v>
      </c>
      <c r="P69" s="2">
        <f t="shared" si="227"/>
        <v>0.65000000000000568</v>
      </c>
      <c r="Q69" s="2">
        <f t="shared" si="228"/>
        <v>0.68000000000000682</v>
      </c>
      <c r="R69" s="9">
        <v>42760</v>
      </c>
      <c r="S69" s="7">
        <v>0.38174768518518515</v>
      </c>
      <c r="T69" s="29" t="s">
        <v>33</v>
      </c>
      <c r="U69" s="8">
        <v>64.3</v>
      </c>
      <c r="V69" s="8">
        <v>64.3</v>
      </c>
      <c r="W69" s="19">
        <f t="shared" si="229"/>
        <v>0</v>
      </c>
      <c r="X69" s="2">
        <f t="shared" si="230"/>
        <v>-0.68000000000000682</v>
      </c>
      <c r="Y69" s="6">
        <f t="shared" si="231"/>
        <v>-1.0461538461538475</v>
      </c>
      <c r="Z69" s="6">
        <f t="shared" ref="Z69" si="245">Z68+Y69</f>
        <v>-7.4537350291084365</v>
      </c>
      <c r="AA69" s="6">
        <f t="shared" si="232"/>
        <v>-16.320000000000164</v>
      </c>
      <c r="AB69" s="2">
        <v>-2</v>
      </c>
      <c r="AC69" s="6">
        <f t="shared" ref="AC69" si="246">AC68+AA69+AB69</f>
        <v>1621.1829999999984</v>
      </c>
      <c r="AD69" s="8" t="s">
        <v>73</v>
      </c>
      <c r="AE69" s="18" t="s">
        <v>67</v>
      </c>
      <c r="AF69" s="28" t="s">
        <v>52</v>
      </c>
      <c r="AG69" s="13">
        <v>0</v>
      </c>
      <c r="AH69" s="25"/>
      <c r="AI69" s="8">
        <v>1</v>
      </c>
      <c r="AJ69" s="18" t="s">
        <v>206</v>
      </c>
    </row>
    <row r="71" spans="1:36" x14ac:dyDescent="0.25">
      <c r="H71" s="14">
        <f>SUM(H3:H70)</f>
        <v>-6.467686439351259</v>
      </c>
      <c r="Y71" s="14">
        <f>SUM(Y3:Y70)</f>
        <v>-8.484985029108433</v>
      </c>
      <c r="Z71" s="3"/>
      <c r="AH71" s="6">
        <f>SUM(AH3:AH70)</f>
        <v>82.747396388669472</v>
      </c>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O6"/>
  <sheetViews>
    <sheetView tabSelected="1" zoomScaleNormal="100" workbookViewId="0">
      <selection activeCell="O19" sqref="O19"/>
    </sheetView>
  </sheetViews>
  <sheetFormatPr baseColWidth="10" defaultRowHeight="15" x14ac:dyDescent="0.25"/>
  <cols>
    <col min="2" max="2" width="12.85546875" style="34" customWidth="1"/>
    <col min="3" max="3" width="12.85546875" customWidth="1"/>
    <col min="4" max="4" width="8" customWidth="1"/>
    <col min="9" max="9" width="18.85546875" customWidth="1"/>
    <col min="15" max="15" width="12" customWidth="1"/>
    <col min="16" max="16" width="8.140625" customWidth="1"/>
    <col min="17" max="18" width="16" customWidth="1"/>
    <col min="19" max="19" width="11.42578125" style="31"/>
    <col min="22" max="22" width="13.7109375" customWidth="1"/>
    <col min="23" max="23" width="12.5703125" customWidth="1"/>
    <col min="24" max="24" width="18.7109375" customWidth="1"/>
    <col min="27" max="27" width="14.85546875" customWidth="1"/>
    <col min="28" max="28" width="14.28515625" customWidth="1"/>
    <col min="29" max="30" width="12" customWidth="1"/>
    <col min="31" max="31" width="14.42578125" customWidth="1"/>
    <col min="32" max="32" width="16.5703125" customWidth="1"/>
    <col min="33" max="33" width="12" customWidth="1"/>
    <col min="34" max="34" width="15.42578125" style="36" customWidth="1"/>
    <col min="35" max="35" width="10.7109375" style="36" customWidth="1"/>
    <col min="36" max="36" width="21" style="39" customWidth="1"/>
    <col min="37" max="37" width="15.7109375" style="39" customWidth="1"/>
    <col min="38" max="38" width="16.28515625" customWidth="1"/>
    <col min="39" max="39" width="15.7109375" customWidth="1"/>
    <col min="40" max="41" width="16.28515625" customWidth="1"/>
  </cols>
  <sheetData>
    <row r="2" spans="1:41" s="1" customFormat="1" x14ac:dyDescent="0.25">
      <c r="A2" s="1" t="s">
        <v>145</v>
      </c>
      <c r="B2" s="32" t="s">
        <v>27</v>
      </c>
      <c r="C2" s="1" t="s">
        <v>28</v>
      </c>
      <c r="D2" s="1" t="s">
        <v>217</v>
      </c>
      <c r="E2" s="1" t="s">
        <v>29</v>
      </c>
      <c r="F2" s="1" t="s">
        <v>30</v>
      </c>
      <c r="G2" s="1" t="s">
        <v>31</v>
      </c>
      <c r="H2" s="1" t="s">
        <v>32</v>
      </c>
      <c r="I2" s="1" t="s">
        <v>79</v>
      </c>
      <c r="J2" s="1" t="s">
        <v>33</v>
      </c>
      <c r="K2" s="1" t="s">
        <v>34</v>
      </c>
      <c r="L2" s="1" t="s">
        <v>35</v>
      </c>
      <c r="M2" s="1" t="s">
        <v>36</v>
      </c>
      <c r="N2" s="1" t="s">
        <v>56</v>
      </c>
      <c r="O2" s="1" t="s">
        <v>45</v>
      </c>
      <c r="P2" s="1" t="s">
        <v>44</v>
      </c>
      <c r="Q2" s="1" t="s">
        <v>54</v>
      </c>
      <c r="R2" s="1" t="s">
        <v>55</v>
      </c>
      <c r="S2" s="32" t="s">
        <v>37</v>
      </c>
      <c r="T2" s="1" t="s">
        <v>30</v>
      </c>
      <c r="U2" s="1" t="s">
        <v>38</v>
      </c>
      <c r="V2" s="1" t="s">
        <v>58</v>
      </c>
      <c r="W2" s="1" t="s">
        <v>59</v>
      </c>
      <c r="X2" s="1" t="s">
        <v>78</v>
      </c>
      <c r="Y2" s="1" t="s">
        <v>211</v>
      </c>
      <c r="Z2" s="1" t="s">
        <v>47</v>
      </c>
      <c r="AA2" s="1" t="s">
        <v>238</v>
      </c>
      <c r="AB2" s="1" t="s">
        <v>225</v>
      </c>
      <c r="AC2" s="1" t="s">
        <v>48</v>
      </c>
      <c r="AD2" s="1" t="s">
        <v>226</v>
      </c>
      <c r="AE2" s="1" t="s">
        <v>228</v>
      </c>
      <c r="AF2" s="1" t="s">
        <v>227</v>
      </c>
      <c r="AG2" s="1" t="s">
        <v>212</v>
      </c>
      <c r="AH2" s="35" t="s">
        <v>221</v>
      </c>
      <c r="AI2" s="35" t="s">
        <v>220</v>
      </c>
      <c r="AJ2" s="40" t="s">
        <v>215</v>
      </c>
      <c r="AK2" s="40" t="s">
        <v>207</v>
      </c>
      <c r="AL2" s="1" t="s">
        <v>222</v>
      </c>
      <c r="AM2" s="1" t="s">
        <v>216</v>
      </c>
      <c r="AN2" s="1" t="s">
        <v>207</v>
      </c>
      <c r="AO2" s="1" t="s">
        <v>223</v>
      </c>
    </row>
    <row r="3" spans="1:41" s="1" customFormat="1" x14ac:dyDescent="0.25">
      <c r="A3" s="2">
        <v>1</v>
      </c>
      <c r="B3" s="33">
        <v>42646</v>
      </c>
      <c r="C3" s="8" t="s">
        <v>20</v>
      </c>
      <c r="D3" s="8" t="s">
        <v>218</v>
      </c>
      <c r="E3" s="5">
        <v>1</v>
      </c>
      <c r="F3" s="7">
        <v>0.37612268518518516</v>
      </c>
      <c r="G3" s="8">
        <v>115.4</v>
      </c>
      <c r="H3" s="8">
        <v>115.45</v>
      </c>
      <c r="I3" s="19">
        <f t="shared" ref="I3:I6" si="0">1-R3/Q3</f>
        <v>-3.3333333333331439E-2</v>
      </c>
      <c r="J3" s="8">
        <v>113.9</v>
      </c>
      <c r="K3" s="8">
        <v>119</v>
      </c>
      <c r="L3" s="41">
        <f t="shared" ref="L3:L6" si="1">(K3-G3)/(G3-J3)</f>
        <v>2.3999999999999964</v>
      </c>
      <c r="M3" s="6">
        <f t="shared" ref="M3:M6" si="2">(K3-H3)/(H3-J3)</f>
        <v>2.2903225806451637</v>
      </c>
      <c r="N3" s="13">
        <v>5000</v>
      </c>
      <c r="O3" s="2">
        <v>1</v>
      </c>
      <c r="P3" s="30">
        <f t="shared" ref="P3:P6" si="3">ROUNDDOWN(N3*O3%/ABS(J3-G3),0)</f>
        <v>33</v>
      </c>
      <c r="Q3" s="2">
        <f t="shared" ref="Q3:Q6" si="4">ABS(J3-G3)</f>
        <v>1.5</v>
      </c>
      <c r="R3" s="2">
        <f t="shared" ref="R3:R6" si="5">ABS(J3-H3)</f>
        <v>1.5499999999999972</v>
      </c>
      <c r="S3" s="33">
        <v>42648</v>
      </c>
      <c r="T3" s="7">
        <v>0.37535879629629632</v>
      </c>
      <c r="U3" s="29" t="s">
        <v>33</v>
      </c>
      <c r="V3" s="8">
        <v>113.9</v>
      </c>
      <c r="W3" s="8">
        <v>113.7</v>
      </c>
      <c r="X3" s="14">
        <f>IF(E3&lt;0,(V3-W3)/R3,(W3-V3)/R3)</f>
        <v>-0.12903225806451821</v>
      </c>
      <c r="Y3" s="2">
        <f>IF(E3&lt;0,H3-W3,W3-H3)</f>
        <v>-1.75</v>
      </c>
      <c r="Z3" s="6">
        <f>Y3/Q3</f>
        <v>-1.1666666666666667</v>
      </c>
      <c r="AA3" s="6">
        <f>Z3</f>
        <v>-1.1666666666666667</v>
      </c>
      <c r="AB3" s="6">
        <f>Y3*P3</f>
        <v>-57.75</v>
      </c>
      <c r="AC3" s="6">
        <f>IF((P3*H3*0.05%)+(P3*W3*0.05%)&gt;2,((P3*H3*0.05%)+(P3*W3*0.05%))*0.9,2)</f>
        <v>3.4028774999999998</v>
      </c>
      <c r="AD3" s="6">
        <f>AC3/(N3*1%)</f>
        <v>6.8057549999999994E-2</v>
      </c>
      <c r="AE3" s="6">
        <f>Y3/Q3-AD3</f>
        <v>-1.2347242166666668</v>
      </c>
      <c r="AF3" s="6">
        <f>AE3</f>
        <v>-1.2347242166666668</v>
      </c>
      <c r="AG3" s="8">
        <v>-0.06</v>
      </c>
      <c r="AH3" s="8" t="s">
        <v>213</v>
      </c>
      <c r="AI3" s="4" t="s">
        <v>209</v>
      </c>
      <c r="AJ3" s="18" t="s">
        <v>229</v>
      </c>
      <c r="AK3" s="37" t="s">
        <v>208</v>
      </c>
      <c r="AL3" s="18" t="s">
        <v>230</v>
      </c>
      <c r="AM3" s="18" t="s">
        <v>52</v>
      </c>
      <c r="AN3" s="37" t="s">
        <v>208</v>
      </c>
      <c r="AO3" s="18"/>
    </row>
    <row r="4" spans="1:41" s="2" customFormat="1" x14ac:dyDescent="0.25">
      <c r="A4" s="2">
        <v>2</v>
      </c>
      <c r="B4" s="33">
        <v>42647</v>
      </c>
      <c r="C4" s="8" t="s">
        <v>159</v>
      </c>
      <c r="D4" s="8" t="s">
        <v>219</v>
      </c>
      <c r="E4" s="5">
        <v>1</v>
      </c>
      <c r="F4" s="7">
        <v>0.37707175925925923</v>
      </c>
      <c r="G4" s="8">
        <v>14.96</v>
      </c>
      <c r="H4" s="8">
        <v>14.965</v>
      </c>
      <c r="I4" s="19">
        <f t="shared" si="0"/>
        <v>-3.1249999999993783E-2</v>
      </c>
      <c r="J4" s="8">
        <v>14.8</v>
      </c>
      <c r="K4" s="8">
        <v>15.4</v>
      </c>
      <c r="L4" s="41">
        <f t="shared" si="1"/>
        <v>2.7499999999999947</v>
      </c>
      <c r="M4" s="6">
        <f t="shared" si="2"/>
        <v>2.6363636363636531</v>
      </c>
      <c r="N4" s="13">
        <f>N3+AB3-AC3</f>
        <v>4938.8471225000003</v>
      </c>
      <c r="O4" s="2">
        <v>1</v>
      </c>
      <c r="P4" s="30">
        <f t="shared" si="3"/>
        <v>308</v>
      </c>
      <c r="Q4" s="2">
        <f t="shared" si="4"/>
        <v>0.16000000000000014</v>
      </c>
      <c r="R4" s="2">
        <f t="shared" si="5"/>
        <v>0.16499999999999915</v>
      </c>
      <c r="S4" s="33">
        <v>42648</v>
      </c>
      <c r="T4" s="7">
        <v>0.38611111111111113</v>
      </c>
      <c r="U4" s="29" t="s">
        <v>33</v>
      </c>
      <c r="V4" s="8">
        <v>14.8</v>
      </c>
      <c r="W4" s="8">
        <v>14.8</v>
      </c>
      <c r="X4" s="19">
        <f>IF(E4&lt;0,(V4-W4)/R4,(W4-V4)/R4)</f>
        <v>0</v>
      </c>
      <c r="Y4" s="2">
        <f>IF(E4&lt;0,H4-W4,W4-H4)</f>
        <v>-0.16499999999999915</v>
      </c>
      <c r="Z4" s="6">
        <f>Y4/Q4</f>
        <v>-1.0312499999999938</v>
      </c>
      <c r="AA4" s="6">
        <f>AA3+Z4</f>
        <v>-2.1979166666666607</v>
      </c>
      <c r="AB4" s="6">
        <f>Y4*P4</f>
        <v>-50.819999999999737</v>
      </c>
      <c r="AC4" s="6">
        <f>IF((P4*H4*0.05%)+(P4*W4*0.05%)&gt;2,((P4*H4*0.05%)+(P4*W4*0.05%))*0.9,2)</f>
        <v>4.1254290000000005</v>
      </c>
      <c r="AD4" s="6">
        <f>AC4/(N4*1%)</f>
        <v>8.3530202447565233E-2</v>
      </c>
      <c r="AE4" s="6">
        <f>Y4/Q4-AD4</f>
        <v>-1.114780202447559</v>
      </c>
      <c r="AF4" s="6">
        <f t="shared" ref="AF4:AF6" si="6">AF3+AE4</f>
        <v>-2.3495044191142256</v>
      </c>
      <c r="AG4" s="8">
        <v>-0.03</v>
      </c>
      <c r="AH4" s="8" t="s">
        <v>214</v>
      </c>
      <c r="AI4" s="4" t="s">
        <v>209</v>
      </c>
      <c r="AJ4" s="18" t="s">
        <v>231</v>
      </c>
      <c r="AK4" s="38" t="s">
        <v>210</v>
      </c>
      <c r="AL4" s="18" t="s">
        <v>232</v>
      </c>
      <c r="AM4" s="18" t="s">
        <v>52</v>
      </c>
      <c r="AN4" s="37" t="s">
        <v>208</v>
      </c>
      <c r="AO4" s="18"/>
    </row>
    <row r="5" spans="1:41" s="2" customFormat="1" x14ac:dyDescent="0.25">
      <c r="A5" s="2">
        <v>3</v>
      </c>
      <c r="B5" s="33">
        <v>42649</v>
      </c>
      <c r="C5" s="8" t="s">
        <v>8</v>
      </c>
      <c r="D5" s="8" t="s">
        <v>219</v>
      </c>
      <c r="E5" s="4">
        <v>-1</v>
      </c>
      <c r="F5" s="7">
        <v>0.47920138888888886</v>
      </c>
      <c r="G5" s="8">
        <v>38</v>
      </c>
      <c r="H5" s="8">
        <v>38</v>
      </c>
      <c r="I5" s="19">
        <f t="shared" si="0"/>
        <v>0</v>
      </c>
      <c r="J5" s="8">
        <v>38.46</v>
      </c>
      <c r="K5" s="8">
        <v>36.700000000000003</v>
      </c>
      <c r="L5" s="41">
        <f t="shared" si="1"/>
        <v>2.8260869565217277</v>
      </c>
      <c r="M5" s="6">
        <f t="shared" si="2"/>
        <v>2.8260869565217277</v>
      </c>
      <c r="N5" s="13">
        <f>N4+AB4-AC4</f>
        <v>4883.9016935000009</v>
      </c>
      <c r="O5" s="2">
        <v>1</v>
      </c>
      <c r="P5" s="30">
        <f t="shared" si="3"/>
        <v>106</v>
      </c>
      <c r="Q5" s="2">
        <f t="shared" si="4"/>
        <v>0.46000000000000085</v>
      </c>
      <c r="R5" s="2">
        <f t="shared" si="5"/>
        <v>0.46000000000000085</v>
      </c>
      <c r="S5" s="33">
        <v>42653</v>
      </c>
      <c r="T5" s="7">
        <v>0.56701388888888882</v>
      </c>
      <c r="U5" s="29" t="s">
        <v>57</v>
      </c>
      <c r="V5" s="8">
        <v>38</v>
      </c>
      <c r="W5" s="8">
        <v>38</v>
      </c>
      <c r="X5" s="19">
        <f>IF(E5&lt;0,(V5-W5)/R5,(W5-V5)/R5)</f>
        <v>0</v>
      </c>
      <c r="Y5" s="2">
        <f>IF(E5&lt;0,H5-W5,W5-H5)</f>
        <v>0</v>
      </c>
      <c r="Z5" s="6">
        <f>Y5/Q5</f>
        <v>0</v>
      </c>
      <c r="AA5" s="6">
        <f t="shared" ref="AA5:AA6" si="7">AA4+Z5</f>
        <v>-2.1979166666666607</v>
      </c>
      <c r="AB5" s="6">
        <f>Y5*P5</f>
        <v>0</v>
      </c>
      <c r="AC5" s="6">
        <f>IF((P5*H5*0.05%)+(P5*W5*0.05%)&gt;2,((P5*H5*0.05%)+(P5*W5*0.05%))*0.9,2)</f>
        <v>3.6252000000000004</v>
      </c>
      <c r="AD5" s="6">
        <f>AC5/(N5*1%)</f>
        <v>7.422753829842213E-2</v>
      </c>
      <c r="AE5" s="6">
        <f>Y5/Q5-AD5</f>
        <v>-7.422753829842213E-2</v>
      </c>
      <c r="AF5" s="6">
        <f t="shared" si="6"/>
        <v>-2.4237319574126479</v>
      </c>
      <c r="AG5" s="8">
        <v>0</v>
      </c>
      <c r="AH5" s="8" t="s">
        <v>209</v>
      </c>
      <c r="AI5" s="8" t="s">
        <v>214</v>
      </c>
      <c r="AJ5" s="18" t="s">
        <v>233</v>
      </c>
      <c r="AK5" s="37" t="s">
        <v>208</v>
      </c>
      <c r="AL5" s="21"/>
      <c r="AM5" s="15" t="s">
        <v>237</v>
      </c>
      <c r="AN5" s="37" t="s">
        <v>208</v>
      </c>
      <c r="AO5" s="18"/>
    </row>
    <row r="6" spans="1:41" s="2" customFormat="1" x14ac:dyDescent="0.25">
      <c r="A6" s="2">
        <v>4</v>
      </c>
      <c r="B6" s="33">
        <v>42650</v>
      </c>
      <c r="C6" s="8" t="s">
        <v>2</v>
      </c>
      <c r="D6" s="8" t="s">
        <v>218</v>
      </c>
      <c r="E6" s="4">
        <v>-1</v>
      </c>
      <c r="F6" s="7">
        <v>0.37533564814814818</v>
      </c>
      <c r="G6" s="8">
        <v>54.41</v>
      </c>
      <c r="H6" s="8">
        <v>54.32</v>
      </c>
      <c r="I6" s="19">
        <f t="shared" si="0"/>
        <v>-9.0909090909087054E-2</v>
      </c>
      <c r="J6" s="8">
        <v>55.4</v>
      </c>
      <c r="K6" s="8">
        <v>51.6</v>
      </c>
      <c r="L6" s="41">
        <f t="shared" si="1"/>
        <v>2.838383838383828</v>
      </c>
      <c r="M6" s="6">
        <f t="shared" si="2"/>
        <v>2.5185185185185213</v>
      </c>
      <c r="N6" s="13">
        <f>N5+AB5-AC5</f>
        <v>4880.2764935000005</v>
      </c>
      <c r="O6" s="2">
        <v>1</v>
      </c>
      <c r="P6" s="30">
        <f t="shared" si="3"/>
        <v>49</v>
      </c>
      <c r="Q6" s="2">
        <f t="shared" si="4"/>
        <v>0.99000000000000199</v>
      </c>
      <c r="R6" s="2">
        <f t="shared" si="5"/>
        <v>1.0799999999999983</v>
      </c>
      <c r="S6" s="33">
        <v>42653</v>
      </c>
      <c r="T6" s="7">
        <v>0.65774305555555557</v>
      </c>
      <c r="U6" s="29" t="s">
        <v>57</v>
      </c>
      <c r="V6" s="8">
        <v>54.32</v>
      </c>
      <c r="W6" s="8">
        <v>54.32</v>
      </c>
      <c r="X6" s="19">
        <f>IF(E6&lt;0,(V6-W6)/R6,(W6-V6)/R6)</f>
        <v>0</v>
      </c>
      <c r="Y6" s="2">
        <f>IF(E6&lt;0,H6-W6,W6-H6)</f>
        <v>0</v>
      </c>
      <c r="Z6" s="6">
        <f>Y6/Q6</f>
        <v>0</v>
      </c>
      <c r="AA6" s="6">
        <f t="shared" si="7"/>
        <v>-2.1979166666666607</v>
      </c>
      <c r="AB6" s="6">
        <f>Y6*P6</f>
        <v>0</v>
      </c>
      <c r="AC6" s="6">
        <f>IF((P6*H6*0.05%)+(P6*W6*0.05%)&gt;2,((P6*H6*0.05%)+(P6*W6*0.05%))*0.9,2)</f>
        <v>2.3955120000000001</v>
      </c>
      <c r="AD6" s="6">
        <f>AC6/(N6*1%)</f>
        <v>4.9085579540228151E-2</v>
      </c>
      <c r="AE6" s="6">
        <f>Y6/Q6-AD6</f>
        <v>-4.9085579540228151E-2</v>
      </c>
      <c r="AF6" s="6">
        <f t="shared" si="6"/>
        <v>-2.472817536952876</v>
      </c>
      <c r="AG6" s="8">
        <v>0</v>
      </c>
      <c r="AH6" s="8" t="s">
        <v>224</v>
      </c>
      <c r="AI6" s="5" t="s">
        <v>209</v>
      </c>
      <c r="AJ6" s="18" t="s">
        <v>234</v>
      </c>
      <c r="AK6" s="37" t="s">
        <v>208</v>
      </c>
      <c r="AL6" s="21"/>
      <c r="AM6" s="21" t="s">
        <v>235</v>
      </c>
      <c r="AN6" s="38" t="s">
        <v>210</v>
      </c>
      <c r="AO6" s="18" t="s">
        <v>236</v>
      </c>
    </row>
  </sheetData>
  <autoFilter ref="A2:AO2">
    <sortState ref="A8:BT220">
      <sortCondition ref="A7"/>
    </sortState>
  </autoFilter>
  <pageMargins left="0.7" right="0.7" top="0.78740157499999996" bottom="0.78740157499999996"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Vorlage</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dc:creator>
  <cp:lastModifiedBy>Michael</cp:lastModifiedBy>
  <dcterms:created xsi:type="dcterms:W3CDTF">2016-09-29T14:21:20Z</dcterms:created>
  <dcterms:modified xsi:type="dcterms:W3CDTF">2018-01-12T08:37:36Z</dcterms:modified>
</cp:coreProperties>
</file>